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rath-my.sharepoint.com/personal/colin_whyte_strath_ac_uk/Documents/Projects/LhARA/BridgeFunds/WP-Cost-Sheets/Finals/"/>
    </mc:Choice>
  </mc:AlternateContent>
  <xr:revisionPtr revIDLastSave="0" documentId="8_{CBBECA8C-FD6D-4B49-9A72-14AE9171DAD1}" xr6:coauthVersionLast="36" xr6:coauthVersionMax="36" xr10:uidLastSave="{00000000-0000-0000-0000-000000000000}"/>
  <bookViews>
    <workbookView xWindow="0" yWindow="744" windowWidth="12264" windowHeight="4776" tabRatio="712" firstSheet="1" activeTab="13" xr2:uid="{00000000-000D-0000-FFFF-FFFF00000000}"/>
  </bookViews>
  <sheets>
    <sheet name="QUB" sheetId="5" r:id="rId1"/>
    <sheet name="BHM Bio" sheetId="6" r:id="rId2"/>
    <sheet name="Bhm Phys" sheetId="7" r:id="rId3"/>
    <sheet name="ICR" sheetId="8" r:id="rId4"/>
    <sheet name="ICL" sheetId="9" r:id="rId5"/>
    <sheet name="Liv" sheetId="10" r:id="rId6"/>
    <sheet name="Man" sheetId="11" r:id="rId7"/>
    <sheet name="QMUL" sheetId="12" r:id="rId8"/>
    <sheet name="RHUL" sheetId="13" r:id="rId9"/>
    <sheet name="Daresbury" sheetId="14" r:id="rId10"/>
    <sheet name="Strath" sheetId="15" r:id="rId11"/>
    <sheet name="Swansea" sheetId="16" r:id="rId12"/>
    <sheet name="UCL" sheetId="17" r:id="rId13"/>
    <sheet name="8 Mth" sheetId="18" r:id="rId1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8" l="1"/>
  <c r="E8" i="18"/>
  <c r="F14" i="18"/>
  <c r="F13" i="18"/>
  <c r="F12" i="18"/>
  <c r="F9" i="18"/>
  <c r="F6" i="18"/>
  <c r="F4" i="18"/>
  <c r="F3" i="18"/>
  <c r="E14" i="18"/>
  <c r="E13" i="18"/>
  <c r="E12" i="18"/>
  <c r="E11" i="18"/>
  <c r="E10" i="18"/>
  <c r="E7" i="18"/>
  <c r="E6" i="18"/>
  <c r="E5" i="18"/>
  <c r="E4" i="18"/>
  <c r="E3" i="18"/>
  <c r="E2" i="18"/>
  <c r="H30" i="11"/>
  <c r="F30" i="11"/>
  <c r="H15" i="11"/>
  <c r="G28" i="11"/>
  <c r="F28" i="11"/>
  <c r="E28" i="11"/>
  <c r="F27" i="11"/>
  <c r="F25" i="11"/>
  <c r="F24" i="11"/>
  <c r="E27" i="11"/>
  <c r="E25" i="11"/>
  <c r="E24" i="11"/>
  <c r="I11" i="11"/>
  <c r="I10" i="11"/>
  <c r="F11" i="17" l="1"/>
  <c r="F10" i="17"/>
  <c r="F13" i="14"/>
  <c r="C27" i="17" l="1"/>
  <c r="C25" i="17"/>
  <c r="C24" i="17"/>
  <c r="C25" i="16"/>
  <c r="F11" i="16"/>
  <c r="F10" i="16"/>
  <c r="C28" i="15"/>
  <c r="C26" i="15"/>
  <c r="C25" i="15"/>
  <c r="F14" i="15"/>
  <c r="F13" i="15"/>
  <c r="F12" i="15"/>
  <c r="F11" i="15"/>
  <c r="F10" i="15"/>
  <c r="C29" i="14"/>
  <c r="F18" i="14"/>
  <c r="F17" i="14"/>
  <c r="F16" i="14"/>
  <c r="F15" i="14"/>
  <c r="F14" i="14"/>
  <c r="F12" i="14"/>
  <c r="F11" i="14"/>
  <c r="F10" i="14"/>
  <c r="F30" i="13"/>
  <c r="C27" i="13"/>
  <c r="C25" i="13"/>
  <c r="C24" i="13"/>
  <c r="F10" i="13"/>
  <c r="F30" i="12"/>
  <c r="C21" i="12"/>
  <c r="C27" i="11"/>
  <c r="C25" i="11"/>
  <c r="C24" i="11"/>
  <c r="F11" i="11"/>
  <c r="F10" i="11"/>
  <c r="F30" i="10"/>
  <c r="C27" i="10"/>
  <c r="C25" i="10"/>
  <c r="C24" i="10"/>
  <c r="F10" i="10"/>
  <c r="F29" i="9"/>
  <c r="C26" i="9"/>
  <c r="C24" i="9"/>
  <c r="C23" i="9"/>
  <c r="C20" i="9"/>
  <c r="F11" i="9"/>
  <c r="F10" i="9"/>
  <c r="F30" i="8"/>
  <c r="C25" i="8"/>
  <c r="C24" i="8"/>
  <c r="F10" i="8"/>
  <c r="F30" i="7"/>
  <c r="C27" i="7"/>
  <c r="C25" i="7"/>
  <c r="C24" i="7"/>
  <c r="C21" i="7"/>
  <c r="F10" i="7"/>
  <c r="F30" i="6"/>
  <c r="C24" i="6"/>
  <c r="C21" i="6"/>
  <c r="F11" i="6"/>
  <c r="F10" i="6"/>
  <c r="F29" i="5"/>
  <c r="C26" i="5"/>
  <c r="C24" i="5"/>
  <c r="C23" i="5"/>
  <c r="F10" i="5"/>
  <c r="D10" i="5"/>
  <c r="F11" i="18" l="1"/>
  <c r="F10" i="18"/>
  <c r="F8" i="18"/>
  <c r="F7" i="18"/>
  <c r="F5" i="18"/>
  <c r="F2" i="18"/>
  <c r="E9" i="18"/>
  <c r="C29" i="5" l="1"/>
  <c r="F15" i="5"/>
  <c r="C30" i="6"/>
  <c r="F15" i="6"/>
  <c r="C30" i="7"/>
  <c r="F15" i="7"/>
  <c r="C30" i="8"/>
  <c r="F15" i="8"/>
  <c r="C29" i="9"/>
  <c r="F14" i="9"/>
  <c r="C30" i="10"/>
  <c r="F15" i="10"/>
  <c r="C30" i="11"/>
  <c r="F15" i="11"/>
  <c r="C30" i="12"/>
  <c r="F15" i="12"/>
  <c r="C30" i="13"/>
  <c r="F15" i="13"/>
  <c r="C34" i="14"/>
  <c r="F19" i="14"/>
  <c r="F34" i="14" s="1"/>
  <c r="C31" i="15"/>
  <c r="F31" i="15" s="1"/>
  <c r="F16" i="15"/>
  <c r="C30" i="16"/>
  <c r="F30" i="16" s="1"/>
  <c r="F15" i="16"/>
  <c r="C30" i="17"/>
  <c r="F15" i="17"/>
  <c r="F30" i="17" s="1"/>
  <c r="G14" i="18" l="1"/>
  <c r="C14" i="18"/>
  <c r="C13" i="18"/>
  <c r="G13" i="18"/>
  <c r="C12" i="18"/>
  <c r="G11" i="18"/>
  <c r="K16" i="14"/>
  <c r="G10" i="18"/>
  <c r="C10" i="18"/>
  <c r="C8" i="18"/>
  <c r="G7" i="18"/>
  <c r="C7" i="18"/>
  <c r="G6" i="18"/>
  <c r="C6" i="18"/>
  <c r="G5" i="18"/>
  <c r="G4" i="18"/>
  <c r="C4" i="18"/>
  <c r="G3" i="18"/>
  <c r="C3" i="18"/>
  <c r="G2" i="18"/>
  <c r="C2" i="18"/>
  <c r="C9" i="18"/>
  <c r="C5" i="18"/>
  <c r="E15" i="18" l="1"/>
  <c r="G9" i="18"/>
  <c r="G12" i="18"/>
  <c r="F15" i="18"/>
  <c r="C11" i="18"/>
  <c r="C15" i="18" s="1"/>
  <c r="C17" i="18" s="1"/>
  <c r="G15" i="18" l="1"/>
  <c r="G17" i="18" s="1"/>
</calcChain>
</file>

<file path=xl/sharedStrings.xml><?xml version="1.0" encoding="utf-8"?>
<sst xmlns="http://schemas.openxmlformats.org/spreadsheetml/2006/main" count="468" uniqueCount="94">
  <si>
    <t>ASTeC Accelerator Physics</t>
  </si>
  <si>
    <t>TD Mechanical Engineering</t>
  </si>
  <si>
    <t>ASTeC Technical Services</t>
  </si>
  <si>
    <t>ASTeC Vacuum</t>
  </si>
  <si>
    <t>ISIS Magnet</t>
  </si>
  <si>
    <t>ASTeC Magnet</t>
  </si>
  <si>
    <t>ASTeC-Project-Manager</t>
  </si>
  <si>
    <t>ASTeC-Project-Scientist</t>
  </si>
  <si>
    <t>TD-Project-Support</t>
  </si>
  <si>
    <t>DI</t>
  </si>
  <si>
    <t>DA</t>
  </si>
  <si>
    <t>DA - ODA Infra Technicians</t>
  </si>
  <si>
    <t>UCL</t>
  </si>
  <si>
    <t>LhARA Bridging Period</t>
  </si>
  <si>
    <t>(Costs should be provided at 100%)</t>
  </si>
  <si>
    <t xml:space="preserve">Grant Reference: </t>
  </si>
  <si>
    <t>Staff  Request</t>
  </si>
  <si>
    <t xml:space="preserve">Note - for the staff type please ensure you identify whether the post is Directly Incurred (DI), or Directly </t>
  </si>
  <si>
    <t>Allocated (DA), and please specify the type of post: Investigator, Researcher, Technician, Other DI etc</t>
  </si>
  <si>
    <t xml:space="preserve">Staff Type </t>
  </si>
  <si>
    <t>Name or Post Identifier</t>
  </si>
  <si>
    <t xml:space="preserve">Start Date </t>
  </si>
  <si>
    <t xml:space="preserve">Requested Duration Months on Grant </t>
  </si>
  <si>
    <t>Requested % FTE</t>
  </si>
  <si>
    <t>Total Cost on Grant                 £</t>
  </si>
  <si>
    <t>Investigator</t>
  </si>
  <si>
    <t>Total Staff Request</t>
  </si>
  <si>
    <t>Non-Staff Request</t>
  </si>
  <si>
    <t>Total Grant Request   £</t>
  </si>
  <si>
    <t>DI - Equipment</t>
  </si>
  <si>
    <t>DI - Other Costs</t>
  </si>
  <si>
    <t>DI - T&amp;S</t>
  </si>
  <si>
    <t>DA - Research Facilities/Existing Eqpt</t>
  </si>
  <si>
    <t>DA - Estate Costs</t>
  </si>
  <si>
    <t>Indirect - Indirect Costs</t>
  </si>
  <si>
    <t>DA - Other Directly Allocated</t>
  </si>
  <si>
    <t>Exception - Other Costs</t>
  </si>
  <si>
    <t>Exceptions</t>
  </si>
  <si>
    <t>Total Non-Staff Request</t>
  </si>
  <si>
    <t>Sheet Total</t>
  </si>
  <si>
    <t>Notes</t>
  </si>
  <si>
    <t>Researcher</t>
  </si>
  <si>
    <t xml:space="preserve">DI </t>
  </si>
  <si>
    <t>Researcher CoI</t>
  </si>
  <si>
    <t>QUB</t>
  </si>
  <si>
    <t>Bhm Bio</t>
  </si>
  <si>
    <t>Bhm Phys</t>
  </si>
  <si>
    <t>ICR</t>
  </si>
  <si>
    <t>ICL</t>
  </si>
  <si>
    <t>Liv</t>
  </si>
  <si>
    <t>Man</t>
  </si>
  <si>
    <t>QMUL</t>
  </si>
  <si>
    <t>RHUL</t>
  </si>
  <si>
    <t>Dare</t>
  </si>
  <si>
    <t>Strath</t>
  </si>
  <si>
    <t>Swan</t>
  </si>
  <si>
    <t>ST/X005747/1</t>
  </si>
  <si>
    <t>ST/X005682/1</t>
  </si>
  <si>
    <t>ST/X005615/1</t>
  </si>
  <si>
    <t>ST/X006085/1</t>
  </si>
  <si>
    <t>Need to add to ST/X005615/1</t>
  </si>
  <si>
    <t>ST/X002632/1</t>
  </si>
  <si>
    <t>ST/X005771/1</t>
  </si>
  <si>
    <t>ST/X005666/1</t>
  </si>
  <si>
    <t>ST/X005895/1</t>
  </si>
  <si>
    <t>ST/X005763/1</t>
  </si>
  <si>
    <t>ST/X006115/1</t>
  </si>
  <si>
    <t>new grant, expecting Je-S to be submitted</t>
  </si>
  <si>
    <t>C. Palmer</t>
  </si>
  <si>
    <t>T Price</t>
  </si>
  <si>
    <t>J Bamber</t>
  </si>
  <si>
    <t>N Dover</t>
  </si>
  <si>
    <t>New postdoc</t>
  </si>
  <si>
    <t>M Patel</t>
  </si>
  <si>
    <t>W Bertsche</t>
  </si>
  <si>
    <t>T Dascalu</t>
  </si>
  <si>
    <t>W Shields</t>
  </si>
  <si>
    <t>C Whyte</t>
  </si>
  <si>
    <t>P McKenna</t>
  </si>
  <si>
    <t>R Gray</t>
  </si>
  <si>
    <t>R Wilson</t>
  </si>
  <si>
    <t>L Zhang</t>
  </si>
  <si>
    <t>R.Amos</t>
  </si>
  <si>
    <t>B. Cox</t>
  </si>
  <si>
    <t>A. Isaac</t>
  </si>
  <si>
    <t>P.Ruksasakchai</t>
  </si>
  <si>
    <t>C. Burne</t>
  </si>
  <si>
    <t>J. Parsons</t>
  </si>
  <si>
    <t>TOTAL</t>
  </si>
  <si>
    <t>non-staff 8mo</t>
  </si>
  <si>
    <t>8mo total</t>
  </si>
  <si>
    <t>Allowed budget</t>
  </si>
  <si>
    <t>Total @ 80% FTE</t>
  </si>
  <si>
    <t>Staff 8mo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</si>
</sst>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2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u/>
      <sz val="12"/>
      <color rgb="FF0000FF"/>
      <name val="Calibri"/>
      <family val="2"/>
      <scheme val="minor"/>
    </font>
    <font>
      <sz val="12"/>
      <color rgb="FF0000FF"/>
      <name val="Calibri"/>
      <family val="2"/>
      <scheme val="minor"/>
    </font>
    <font>
      <sz val="10"/>
      <name val="MS Sans Serif"/>
      <family val="2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5" fillId="0" borderId="0"/>
    <xf numFmtId="43" fontId="7" fillId="0" borderId="0" applyFont="0" applyFill="0" applyBorder="0" applyAlignment="0" applyProtection="0"/>
    <xf numFmtId="0" fontId="14" fillId="0" borderId="0"/>
    <xf numFmtId="0" fontId="2" fillId="0" borderId="0"/>
  </cellStyleXfs>
  <cellXfs count="117">
    <xf numFmtId="0" fontId="0" fillId="0" borderId="0" xfId="0"/>
    <xf numFmtId="0" fontId="4" fillId="0" borderId="2" xfId="0" applyFont="1" applyBorder="1" applyAlignment="1">
      <alignment horizontal="center"/>
    </xf>
    <xf numFmtId="0" fontId="0" fillId="0" borderId="2" xfId="0" applyBorder="1"/>
    <xf numFmtId="0" fontId="3" fillId="0" borderId="0" xfId="0" applyFont="1"/>
    <xf numFmtId="0" fontId="6" fillId="2" borderId="2" xfId="1" applyFont="1" applyFill="1" applyBorder="1" applyAlignment="1" applyProtection="1">
      <alignment horizontal="left"/>
      <protection locked="0"/>
    </xf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8" fillId="0" borderId="9" xfId="0" applyFont="1" applyBorder="1"/>
    <xf numFmtId="0" fontId="8" fillId="0" borderId="6" xfId="0" applyFont="1" applyBorder="1"/>
    <xf numFmtId="0" fontId="8" fillId="0" borderId="6" xfId="0" applyFont="1" applyBorder="1" applyAlignment="1">
      <alignment horizontal="center"/>
    </xf>
    <xf numFmtId="0" fontId="8" fillId="0" borderId="10" xfId="0" applyFont="1" applyBorder="1" applyAlignment="1">
      <alignment horizontal="center" wrapText="1"/>
    </xf>
    <xf numFmtId="0" fontId="8" fillId="0" borderId="6" xfId="0" applyFont="1" applyBorder="1" applyAlignment="1">
      <alignment horizontal="center" wrapText="1"/>
    </xf>
    <xf numFmtId="0" fontId="8" fillId="0" borderId="0" xfId="0" applyFont="1"/>
    <xf numFmtId="0" fontId="0" fillId="0" borderId="7" xfId="0" applyBorder="1"/>
    <xf numFmtId="14" fontId="0" fillId="0" borderId="7" xfId="0" applyNumberFormat="1" applyBorder="1"/>
    <xf numFmtId="43" fontId="0" fillId="0" borderId="7" xfId="2" applyFont="1" applyBorder="1"/>
    <xf numFmtId="0" fontId="15" fillId="2" borderId="2" xfId="3" applyFont="1" applyFill="1" applyBorder="1"/>
    <xf numFmtId="0" fontId="15" fillId="2" borderId="7" xfId="3" applyFont="1" applyFill="1" applyBorder="1"/>
    <xf numFmtId="0" fontId="0" fillId="2" borderId="7" xfId="0" applyFill="1" applyBorder="1"/>
    <xf numFmtId="0" fontId="0" fillId="2" borderId="0" xfId="0" applyFill="1"/>
    <xf numFmtId="43" fontId="0" fillId="2" borderId="7" xfId="2" applyFont="1" applyFill="1" applyBorder="1"/>
    <xf numFmtId="0" fontId="15" fillId="0" borderId="2" xfId="3" applyFont="1" applyBorder="1"/>
    <xf numFmtId="0" fontId="15" fillId="0" borderId="7" xfId="3" applyFont="1" applyBorder="1"/>
    <xf numFmtId="0" fontId="8" fillId="0" borderId="2" xfId="0" applyFont="1" applyBorder="1"/>
    <xf numFmtId="43" fontId="8" fillId="0" borderId="13" xfId="2" applyFont="1" applyBorder="1"/>
    <xf numFmtId="0" fontId="16" fillId="0" borderId="0" xfId="0" applyFont="1"/>
    <xf numFmtId="0" fontId="8" fillId="0" borderId="0" xfId="0" applyFont="1" applyAlignment="1">
      <alignment horizontal="center" wrapText="1"/>
    </xf>
    <xf numFmtId="0" fontId="0" fillId="0" borderId="1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4" fontId="0" fillId="0" borderId="5" xfId="0" applyNumberFormat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alignment horizontal="left"/>
      <protection locked="0"/>
    </xf>
    <xf numFmtId="0" fontId="0" fillId="2" borderId="0" xfId="0" applyFill="1" applyAlignment="1" applyProtection="1">
      <alignment horizontal="left"/>
      <protection locked="0"/>
    </xf>
    <xf numFmtId="4" fontId="0" fillId="2" borderId="7" xfId="0" applyNumberFormat="1" applyFill="1" applyBorder="1" applyAlignment="1" applyProtection="1">
      <alignment horizontal="right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4" fontId="0" fillId="0" borderId="7" xfId="0" applyNumberFormat="1" applyBorder="1" applyAlignment="1" applyProtection="1">
      <alignment horizontal="right"/>
      <protection locked="0"/>
    </xf>
    <xf numFmtId="0" fontId="6" fillId="0" borderId="2" xfId="1" quotePrefix="1" applyFont="1" applyBorder="1" applyAlignment="1" applyProtection="1">
      <alignment horizontal="left"/>
      <protection locked="0"/>
    </xf>
    <xf numFmtId="0" fontId="6" fillId="0" borderId="0" xfId="1" quotePrefix="1" applyFont="1" applyAlignment="1" applyProtection="1">
      <alignment horizontal="left"/>
      <protection locked="0"/>
    </xf>
    <xf numFmtId="4" fontId="0" fillId="0" borderId="7" xfId="0" applyNumberFormat="1" applyBorder="1" applyAlignment="1">
      <alignment horizontal="right" wrapText="1"/>
    </xf>
    <xf numFmtId="0" fontId="6" fillId="2" borderId="0" xfId="1" applyFont="1" applyFill="1" applyAlignment="1" applyProtection="1">
      <alignment horizontal="left"/>
      <protection locked="0"/>
    </xf>
    <xf numFmtId="4" fontId="6" fillId="2" borderId="7" xfId="1" applyNumberFormat="1" applyFont="1" applyFill="1" applyBorder="1" applyAlignment="1" applyProtection="1">
      <alignment horizontal="right" wrapText="1"/>
      <protection locked="0"/>
    </xf>
    <xf numFmtId="0" fontId="6" fillId="0" borderId="2" xfId="1" applyFont="1" applyBorder="1" applyAlignment="1" applyProtection="1">
      <alignment horizontal="left"/>
      <protection locked="0"/>
    </xf>
    <xf numFmtId="0" fontId="6" fillId="0" borderId="0" xfId="1" applyFont="1" applyAlignment="1" applyProtection="1">
      <alignment horizontal="left"/>
      <protection locked="0"/>
    </xf>
    <xf numFmtId="4" fontId="6" fillId="0" borderId="7" xfId="1" applyNumberFormat="1" applyFont="1" applyBorder="1" applyAlignment="1" applyProtection="1">
      <alignment horizontal="right" wrapText="1"/>
      <protection locked="0"/>
    </xf>
    <xf numFmtId="0" fontId="15" fillId="0" borderId="0" xfId="0" applyFont="1"/>
    <xf numFmtId="0" fontId="0" fillId="2" borderId="8" xfId="0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43" fontId="8" fillId="0" borderId="0" xfId="0" applyNumberFormat="1" applyFont="1"/>
    <xf numFmtId="0" fontId="17" fillId="2" borderId="2" xfId="3" applyFont="1" applyFill="1" applyBorder="1"/>
    <xf numFmtId="0" fontId="17" fillId="2" borderId="7" xfId="3" applyFont="1" applyFill="1" applyBorder="1"/>
    <xf numFmtId="0" fontId="7" fillId="2" borderId="7" xfId="0" applyFont="1" applyFill="1" applyBorder="1"/>
    <xf numFmtId="0" fontId="7" fillId="2" borderId="0" xfId="0" applyFont="1" applyFill="1"/>
    <xf numFmtId="43" fontId="7" fillId="2" borderId="7" xfId="2" applyFont="1" applyFill="1" applyBorder="1"/>
    <xf numFmtId="0" fontId="7" fillId="0" borderId="0" xfId="0" applyFont="1"/>
    <xf numFmtId="0" fontId="18" fillId="0" borderId="2" xfId="1" quotePrefix="1" applyFont="1" applyBorder="1" applyAlignment="1" applyProtection="1">
      <alignment horizontal="left"/>
      <protection locked="0"/>
    </xf>
    <xf numFmtId="0" fontId="18" fillId="0" borderId="0" xfId="1" quotePrefix="1" applyFont="1" applyAlignment="1" applyProtection="1">
      <alignment horizontal="left"/>
      <protection locked="0"/>
    </xf>
    <xf numFmtId="0" fontId="18" fillId="2" borderId="2" xfId="1" applyFont="1" applyFill="1" applyBorder="1" applyAlignment="1" applyProtection="1">
      <alignment horizontal="left"/>
      <protection locked="0"/>
    </xf>
    <xf numFmtId="0" fontId="18" fillId="2" borderId="0" xfId="1" applyFont="1" applyFill="1" applyAlignment="1" applyProtection="1">
      <alignment horizontal="left"/>
      <protection locked="0"/>
    </xf>
    <xf numFmtId="4" fontId="18" fillId="2" borderId="7" xfId="1" applyNumberFormat="1" applyFont="1" applyFill="1" applyBorder="1" applyAlignment="1" applyProtection="1">
      <alignment horizontal="right" wrapText="1"/>
      <protection locked="0"/>
    </xf>
    <xf numFmtId="0" fontId="18" fillId="0" borderId="2" xfId="1" applyFont="1" applyBorder="1" applyAlignment="1" applyProtection="1">
      <alignment horizontal="left"/>
      <protection locked="0"/>
    </xf>
    <xf numFmtId="0" fontId="18" fillId="0" borderId="0" xfId="1" applyFont="1" applyAlignment="1" applyProtection="1">
      <alignment horizontal="left"/>
      <protection locked="0"/>
    </xf>
    <xf numFmtId="4" fontId="18" fillId="0" borderId="7" xfId="1" applyNumberFormat="1" applyFont="1" applyBorder="1" applyAlignment="1" applyProtection="1">
      <alignment horizontal="right" wrapText="1"/>
      <protection locked="0"/>
    </xf>
    <xf numFmtId="0" fontId="17" fillId="0" borderId="0" xfId="0" applyFont="1"/>
    <xf numFmtId="43" fontId="3" fillId="0" borderId="13" xfId="2" applyFont="1" applyBorder="1"/>
    <xf numFmtId="43" fontId="3" fillId="0" borderId="0" xfId="0" applyNumberFormat="1" applyFont="1"/>
    <xf numFmtId="0" fontId="0" fillId="0" borderId="2" xfId="0" applyBorder="1" applyAlignment="1">
      <alignment horizontal="center"/>
    </xf>
    <xf numFmtId="0" fontId="15" fillId="3" borderId="2" xfId="3" applyFont="1" applyFill="1" applyBorder="1"/>
    <xf numFmtId="0" fontId="0" fillId="3" borderId="7" xfId="0" applyFill="1" applyBorder="1"/>
    <xf numFmtId="0" fontId="0" fillId="2" borderId="2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4" fillId="0" borderId="0" xfId="0" applyFont="1" applyAlignment="1">
      <alignment horizontal="center"/>
    </xf>
    <xf numFmtId="14" fontId="0" fillId="2" borderId="7" xfId="0" applyNumberFormat="1" applyFill="1" applyBorder="1"/>
    <xf numFmtId="0" fontId="17" fillId="0" borderId="2" xfId="3" applyFont="1" applyBorder="1"/>
    <xf numFmtId="0" fontId="17" fillId="0" borderId="7" xfId="3" applyFont="1" applyBorder="1"/>
    <xf numFmtId="0" fontId="7" fillId="0" borderId="7" xfId="0" applyFont="1" applyBorder="1"/>
    <xf numFmtId="43" fontId="7" fillId="0" borderId="7" xfId="2" applyFont="1" applyBorder="1"/>
    <xf numFmtId="14" fontId="7" fillId="2" borderId="7" xfId="0" applyNumberFormat="1" applyFont="1" applyFill="1" applyBorder="1"/>
    <xf numFmtId="43" fontId="0" fillId="0" borderId="0" xfId="0" applyNumberFormat="1"/>
    <xf numFmtId="43" fontId="3" fillId="0" borderId="13" xfId="0" applyNumberFormat="1" applyFont="1" applyBorder="1"/>
    <xf numFmtId="0" fontId="0" fillId="0" borderId="14" xfId="0" applyBorder="1"/>
    <xf numFmtId="43" fontId="0" fillId="0" borderId="11" xfId="0" applyNumberFormat="1" applyBorder="1"/>
    <xf numFmtId="0" fontId="0" fillId="0" borderId="15" xfId="0" applyBorder="1"/>
    <xf numFmtId="43" fontId="0" fillId="0" borderId="12" xfId="0" applyNumberFormat="1" applyBorder="1"/>
    <xf numFmtId="43" fontId="0" fillId="0" borderId="16" xfId="0" applyNumberFormat="1" applyBorder="1"/>
    <xf numFmtId="0" fontId="20" fillId="0" borderId="0" xfId="0" applyFont="1"/>
    <xf numFmtId="0" fontId="21" fillId="0" borderId="0" xfId="0" applyFont="1"/>
    <xf numFmtId="0" fontId="19" fillId="0" borderId="0" xfId="0" applyFont="1"/>
    <xf numFmtId="0" fontId="19" fillId="0" borderId="0" xfId="4" applyFont="1"/>
    <xf numFmtId="0" fontId="0" fillId="0" borderId="2" xfId="0" applyBorder="1" applyAlignment="1">
      <alignment horizontal="right"/>
    </xf>
    <xf numFmtId="0" fontId="0" fillId="2" borderId="2" xfId="0" applyFill="1" applyBorder="1"/>
    <xf numFmtId="0" fontId="1" fillId="0" borderId="2" xfId="0" applyFont="1" applyBorder="1"/>
    <xf numFmtId="0" fontId="1" fillId="0" borderId="7" xfId="0" applyFont="1" applyBorder="1"/>
    <xf numFmtId="14" fontId="1" fillId="0" borderId="7" xfId="0" applyNumberFormat="1" applyFont="1" applyBorder="1"/>
    <xf numFmtId="0" fontId="1" fillId="0" borderId="0" xfId="0" applyFont="1"/>
    <xf numFmtId="43" fontId="1" fillId="3" borderId="7" xfId="2" applyFont="1" applyFill="1" applyBorder="1"/>
    <xf numFmtId="14" fontId="1" fillId="2" borderId="7" xfId="0" applyNumberFormat="1" applyFont="1" applyFill="1" applyBorder="1"/>
    <xf numFmtId="0" fontId="1" fillId="2" borderId="0" xfId="0" applyFont="1" applyFill="1"/>
    <xf numFmtId="0" fontId="1" fillId="2" borderId="7" xfId="0" applyFont="1" applyFill="1" applyBorder="1"/>
    <xf numFmtId="43" fontId="1" fillId="2" borderId="7" xfId="2" applyFont="1" applyFill="1" applyBorder="1"/>
    <xf numFmtId="43" fontId="1" fillId="0" borderId="7" xfId="2" applyFont="1" applyBorder="1"/>
    <xf numFmtId="43" fontId="0" fillId="4" borderId="6" xfId="0" applyNumberFormat="1" applyFill="1" applyBorder="1"/>
    <xf numFmtId="4" fontId="0" fillId="5" borderId="6" xfId="0" applyNumberFormat="1" applyFill="1" applyBorder="1"/>
    <xf numFmtId="43" fontId="0" fillId="2" borderId="6" xfId="0" applyNumberFormat="1" applyFill="1" applyBorder="1"/>
    <xf numFmtId="43" fontId="3" fillId="4" borderId="6" xfId="0" applyNumberFormat="1" applyFont="1" applyFill="1" applyBorder="1"/>
    <xf numFmtId="43" fontId="3" fillId="2" borderId="6" xfId="0" applyNumberFormat="1" applyFont="1" applyFill="1" applyBorder="1"/>
    <xf numFmtId="2" fontId="3" fillId="0" borderId="0" xfId="0" applyNumberFormat="1" applyFont="1"/>
    <xf numFmtId="43" fontId="3" fillId="5" borderId="6" xfId="0" applyNumberFormat="1" applyFont="1" applyFill="1" applyBorder="1"/>
    <xf numFmtId="0" fontId="0" fillId="0" borderId="0" xfId="0" applyAlignment="1">
      <alignment horizontal="center" vertical="center" wrapText="1"/>
    </xf>
    <xf numFmtId="0" fontId="3" fillId="0" borderId="17" xfId="0" applyFont="1" applyBorder="1"/>
    <xf numFmtId="0" fontId="0" fillId="4" borderId="6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2" fontId="0" fillId="0" borderId="0" xfId="0" applyNumberFormat="1"/>
    <xf numFmtId="2" fontId="17" fillId="0" borderId="0" xfId="0" applyNumberFormat="1" applyFont="1"/>
  </cellXfs>
  <cellStyles count="5">
    <cellStyle name="Comma" xfId="2" builtinId="3"/>
    <cellStyle name="Normal" xfId="0" builtinId="0"/>
    <cellStyle name="Normal 2" xfId="4" xr:uid="{B12E9642-3EC4-467E-A7AC-F87ED06D60FC}"/>
    <cellStyle name="Normal 24" xfId="3" xr:uid="{D85EB490-0A1D-4EF7-9318-34222C9ED906}"/>
    <cellStyle name="Normal_Non Staff Data" xfId="1" xr:uid="{5A901BA4-6DCA-496E-91DC-728931BEBD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A1CF5-95F5-499A-B7CD-D42BB3248C86}">
  <dimension ref="A1:H32"/>
  <sheetViews>
    <sheetView topLeftCell="A10" workbookViewId="0">
      <selection activeCell="F30" sqref="F30"/>
    </sheetView>
  </sheetViews>
  <sheetFormatPr defaultColWidth="8.796875" defaultRowHeight="15.6" x14ac:dyDescent="0.3"/>
  <cols>
    <col min="1" max="1" width="19" customWidth="1"/>
    <col min="2" max="2" width="27.5" customWidth="1"/>
    <col min="3" max="3" width="12.796875" customWidth="1"/>
    <col min="4" max="4" width="9.296875" customWidth="1"/>
    <col min="5" max="5" width="10.19921875" customWidth="1"/>
    <col min="6" max="6" width="11.69921875" customWidth="1"/>
  </cols>
  <sheetData>
    <row r="1" spans="1:8" ht="18" x14ac:dyDescent="0.35">
      <c r="A1" s="5" t="s">
        <v>13</v>
      </c>
      <c r="B1" s="6"/>
      <c r="C1" s="6"/>
      <c r="D1" s="6"/>
      <c r="E1" s="6"/>
      <c r="F1" s="6"/>
    </row>
    <row r="2" spans="1:8" ht="15" customHeight="1" x14ac:dyDescent="0.3">
      <c r="A2" s="6" t="s">
        <v>14</v>
      </c>
      <c r="B2" s="6"/>
      <c r="C2" s="6"/>
      <c r="D2" s="6"/>
      <c r="E2" s="6"/>
      <c r="F2" s="6"/>
    </row>
    <row r="3" spans="1:8" ht="15" customHeight="1" x14ac:dyDescent="0.3">
      <c r="A3" s="6"/>
      <c r="B3" s="6"/>
      <c r="C3" s="6"/>
      <c r="D3" s="6"/>
      <c r="E3" s="6"/>
      <c r="F3" s="6"/>
    </row>
    <row r="4" spans="1:8" ht="15" customHeight="1" x14ac:dyDescent="0.3">
      <c r="A4" s="7" t="s">
        <v>15</v>
      </c>
      <c r="B4" s="6" t="s">
        <v>56</v>
      </c>
      <c r="C4" s="6"/>
      <c r="D4" s="6"/>
      <c r="E4" s="6"/>
      <c r="F4" s="6"/>
    </row>
    <row r="5" spans="1:8" x14ac:dyDescent="0.3">
      <c r="A5" s="6"/>
      <c r="B5" s="6"/>
      <c r="C5" s="6"/>
      <c r="D5" s="6"/>
      <c r="E5" s="6"/>
      <c r="F5" s="6"/>
    </row>
    <row r="6" spans="1:8" x14ac:dyDescent="0.3">
      <c r="A6" s="8" t="s">
        <v>16</v>
      </c>
      <c r="B6" s="9" t="s">
        <v>17</v>
      </c>
      <c r="C6" s="6"/>
      <c r="D6" s="6"/>
      <c r="E6" s="6"/>
      <c r="F6" s="6"/>
    </row>
    <row r="7" spans="1:8" x14ac:dyDescent="0.3">
      <c r="A7" s="8"/>
      <c r="B7" s="9" t="s">
        <v>18</v>
      </c>
      <c r="C7" s="6"/>
      <c r="D7" s="6"/>
      <c r="E7" s="6"/>
      <c r="F7" s="6"/>
    </row>
    <row r="8" spans="1:8" x14ac:dyDescent="0.3">
      <c r="B8" s="6"/>
      <c r="C8" s="6"/>
      <c r="D8" s="6"/>
      <c r="E8" s="6"/>
      <c r="F8" s="6"/>
    </row>
    <row r="9" spans="1:8" s="15" customFormat="1" ht="57.6" x14ac:dyDescent="0.3">
      <c r="A9" s="10" t="s">
        <v>19</v>
      </c>
      <c r="B9" s="11" t="s">
        <v>20</v>
      </c>
      <c r="C9" s="12" t="s">
        <v>21</v>
      </c>
      <c r="D9" s="13" t="s">
        <v>22</v>
      </c>
      <c r="E9" s="14" t="s">
        <v>23</v>
      </c>
      <c r="F9" s="14" t="s">
        <v>24</v>
      </c>
    </row>
    <row r="10" spans="1:8" x14ac:dyDescent="0.3">
      <c r="A10" s="2" t="s">
        <v>10</v>
      </c>
      <c r="B10" s="16" t="s">
        <v>25</v>
      </c>
      <c r="C10" s="17">
        <v>45566</v>
      </c>
      <c r="D10">
        <f>24/3</f>
        <v>8</v>
      </c>
      <c r="E10" s="16">
        <v>0.1</v>
      </c>
      <c r="F10" s="18">
        <f>7469/3</f>
        <v>2489.6666666666665</v>
      </c>
      <c r="G10" t="s">
        <v>68</v>
      </c>
      <c r="H10" s="87"/>
    </row>
    <row r="11" spans="1:8" x14ac:dyDescent="0.3">
      <c r="A11" s="19"/>
      <c r="B11" s="20"/>
      <c r="C11" s="21"/>
      <c r="D11" s="22"/>
      <c r="E11" s="21"/>
      <c r="F11" s="23"/>
    </row>
    <row r="12" spans="1:8" x14ac:dyDescent="0.3">
      <c r="A12" s="24"/>
      <c r="B12" s="25"/>
      <c r="C12" s="16"/>
      <c r="E12" s="16"/>
      <c r="F12" s="18"/>
    </row>
    <row r="13" spans="1:8" x14ac:dyDescent="0.3">
      <c r="A13" s="19"/>
      <c r="B13" s="20"/>
      <c r="C13" s="21"/>
      <c r="D13" s="22"/>
      <c r="E13" s="21"/>
      <c r="F13" s="23"/>
    </row>
    <row r="14" spans="1:8" ht="16.2" thickBot="1" x14ac:dyDescent="0.35">
      <c r="A14" s="24"/>
      <c r="B14" s="25"/>
      <c r="C14" s="16"/>
      <c r="E14" s="16"/>
      <c r="F14" s="18"/>
    </row>
    <row r="15" spans="1:8" s="15" customFormat="1" ht="15" thickBot="1" x14ac:dyDescent="0.35">
      <c r="A15" s="26" t="s">
        <v>26</v>
      </c>
      <c r="F15" s="27">
        <f>SUM(F10:F14)</f>
        <v>2489.6666666666665</v>
      </c>
    </row>
    <row r="17" spans="1:6" x14ac:dyDescent="0.3">
      <c r="A17" s="28" t="s">
        <v>27</v>
      </c>
    </row>
    <row r="18" spans="1:6" ht="28.8" x14ac:dyDescent="0.3">
      <c r="A18" s="28"/>
      <c r="C18" s="29" t="s">
        <v>28</v>
      </c>
    </row>
    <row r="19" spans="1:6" x14ac:dyDescent="0.3">
      <c r="A19" s="30" t="s">
        <v>29</v>
      </c>
      <c r="B19" s="31"/>
      <c r="C19" s="32"/>
    </row>
    <row r="20" spans="1:6" x14ac:dyDescent="0.3">
      <c r="A20" s="33" t="s">
        <v>30</v>
      </c>
      <c r="B20" s="34"/>
      <c r="C20" s="35"/>
    </row>
    <row r="21" spans="1:6" x14ac:dyDescent="0.3">
      <c r="A21" s="36" t="s">
        <v>31</v>
      </c>
      <c r="B21" s="37"/>
      <c r="C21" s="38">
        <v>0</v>
      </c>
    </row>
    <row r="22" spans="1:6" x14ac:dyDescent="0.3">
      <c r="A22" s="33" t="s">
        <v>32</v>
      </c>
      <c r="B22" s="34"/>
      <c r="C22" s="35"/>
    </row>
    <row r="23" spans="1:6" x14ac:dyDescent="0.3">
      <c r="A23" s="39" t="s">
        <v>33</v>
      </c>
      <c r="B23" s="40"/>
      <c r="C23" s="41">
        <f>1788/3</f>
        <v>596</v>
      </c>
    </row>
    <row r="24" spans="1:6" x14ac:dyDescent="0.3">
      <c r="A24" s="4" t="s">
        <v>34</v>
      </c>
      <c r="B24" s="42"/>
      <c r="C24" s="43">
        <f>6060/3</f>
        <v>2020</v>
      </c>
    </row>
    <row r="25" spans="1:6" x14ac:dyDescent="0.3">
      <c r="A25" s="44" t="s">
        <v>35</v>
      </c>
      <c r="B25" s="45"/>
      <c r="C25" s="46"/>
    </row>
    <row r="26" spans="1:6" x14ac:dyDescent="0.3">
      <c r="A26" s="4" t="s">
        <v>11</v>
      </c>
      <c r="B26" s="42"/>
      <c r="C26" s="43">
        <f>157/3</f>
        <v>52.333333333333336</v>
      </c>
      <c r="D26" s="47"/>
      <c r="E26" s="47"/>
      <c r="F26" s="47"/>
    </row>
    <row r="27" spans="1:6" x14ac:dyDescent="0.3">
      <c r="A27" s="36" t="s">
        <v>36</v>
      </c>
      <c r="B27" s="37"/>
      <c r="C27" s="38"/>
      <c r="D27" s="47"/>
      <c r="E27" s="47"/>
      <c r="F27" s="47"/>
    </row>
    <row r="28" spans="1:6" ht="16.2" thickBot="1" x14ac:dyDescent="0.35">
      <c r="A28" s="48" t="s">
        <v>37</v>
      </c>
      <c r="B28" s="49"/>
      <c r="C28" s="35"/>
      <c r="D28" s="47"/>
      <c r="E28" s="47"/>
      <c r="F28" s="47"/>
    </row>
    <row r="29" spans="1:6" ht="16.2" thickBot="1" x14ac:dyDescent="0.35">
      <c r="A29" s="15" t="s">
        <v>38</v>
      </c>
      <c r="C29" s="27">
        <f>SUM(C19:C28)</f>
        <v>2668.3333333333335</v>
      </c>
      <c r="E29" s="15" t="s">
        <v>39</v>
      </c>
      <c r="F29" s="50">
        <f>SUM(F15+C29)</f>
        <v>5158</v>
      </c>
    </row>
    <row r="32" spans="1:6" x14ac:dyDescent="0.3">
      <c r="A32" s="28" t="s">
        <v>40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37D563-4283-4E95-8B4D-54C5C02871E8}">
  <dimension ref="A1:AX37"/>
  <sheetViews>
    <sheetView topLeftCell="A10" workbookViewId="0">
      <selection activeCell="F14" sqref="F14"/>
    </sheetView>
  </sheetViews>
  <sheetFormatPr defaultColWidth="8.796875" defaultRowHeight="15.6" x14ac:dyDescent="0.3"/>
  <cols>
    <col min="1" max="1" width="19" customWidth="1"/>
    <col min="2" max="2" width="27.5" customWidth="1"/>
    <col min="3" max="3" width="12.796875" customWidth="1"/>
    <col min="4" max="4" width="9.296875" customWidth="1"/>
    <col min="5" max="5" width="10.19921875" customWidth="1"/>
    <col min="6" max="6" width="11.69921875" customWidth="1"/>
  </cols>
  <sheetData>
    <row r="1" spans="1:50" ht="18" x14ac:dyDescent="0.35">
      <c r="A1" s="5" t="s">
        <v>13</v>
      </c>
      <c r="B1" s="6"/>
      <c r="C1" s="6"/>
      <c r="D1" s="6"/>
      <c r="E1" s="6"/>
      <c r="F1" s="6"/>
    </row>
    <row r="2" spans="1:50" ht="15" customHeight="1" x14ac:dyDescent="0.3">
      <c r="A2" s="6" t="s">
        <v>14</v>
      </c>
      <c r="B2" s="6"/>
      <c r="C2" s="6"/>
      <c r="D2" s="6"/>
      <c r="E2" s="6"/>
      <c r="F2" s="6"/>
    </row>
    <row r="3" spans="1:50" ht="15" customHeight="1" x14ac:dyDescent="0.3">
      <c r="A3" s="6"/>
      <c r="B3" s="6"/>
      <c r="C3" s="6"/>
      <c r="D3" s="6"/>
      <c r="E3" s="6"/>
      <c r="F3" s="6"/>
    </row>
    <row r="4" spans="1:50" ht="15" customHeight="1" x14ac:dyDescent="0.3">
      <c r="A4" s="7" t="s">
        <v>15</v>
      </c>
      <c r="B4" s="6"/>
      <c r="C4" s="6"/>
      <c r="D4" s="6"/>
      <c r="E4" s="6"/>
      <c r="F4" s="6"/>
    </row>
    <row r="5" spans="1:50" x14ac:dyDescent="0.3">
      <c r="A5" s="6"/>
      <c r="B5" s="6"/>
      <c r="C5" s="6"/>
      <c r="D5" s="6"/>
      <c r="E5" s="6"/>
      <c r="F5" s="6"/>
    </row>
    <row r="6" spans="1:50" x14ac:dyDescent="0.3">
      <c r="A6" s="8" t="s">
        <v>16</v>
      </c>
      <c r="B6" s="9" t="s">
        <v>17</v>
      </c>
      <c r="C6" s="6"/>
      <c r="D6" s="6"/>
      <c r="E6" s="6"/>
      <c r="F6" s="6"/>
    </row>
    <row r="7" spans="1:50" x14ac:dyDescent="0.3">
      <c r="A7" s="8"/>
      <c r="B7" s="9" t="s">
        <v>18</v>
      </c>
      <c r="C7" s="6"/>
      <c r="D7" s="6"/>
      <c r="E7" s="6"/>
      <c r="F7" s="6"/>
    </row>
    <row r="8" spans="1:50" x14ac:dyDescent="0.3">
      <c r="B8" s="6"/>
      <c r="C8" s="6"/>
      <c r="D8" s="6"/>
      <c r="E8" s="6"/>
      <c r="F8" s="6"/>
    </row>
    <row r="9" spans="1:50" s="15" customFormat="1" ht="57.6" x14ac:dyDescent="0.3">
      <c r="A9" s="10" t="s">
        <v>19</v>
      </c>
      <c r="B9" s="11" t="s">
        <v>20</v>
      </c>
      <c r="C9" s="12" t="s">
        <v>21</v>
      </c>
      <c r="D9" s="13" t="s">
        <v>22</v>
      </c>
      <c r="E9" s="14" t="s">
        <v>23</v>
      </c>
      <c r="F9" s="14" t="s">
        <v>24</v>
      </c>
    </row>
    <row r="10" spans="1:50" x14ac:dyDescent="0.3">
      <c r="A10" s="2" t="s">
        <v>9</v>
      </c>
      <c r="B10" s="68" t="s">
        <v>0</v>
      </c>
      <c r="C10" s="17">
        <v>45566</v>
      </c>
      <c r="D10">
        <v>8</v>
      </c>
      <c r="E10" s="16">
        <v>0.1</v>
      </c>
      <c r="F10" s="18">
        <f>7350.778/3</f>
        <v>2450.2593333333334</v>
      </c>
    </row>
    <row r="11" spans="1:50" x14ac:dyDescent="0.3">
      <c r="A11" s="19"/>
      <c r="B11" s="71" t="s">
        <v>5</v>
      </c>
      <c r="C11" s="17">
        <v>45566</v>
      </c>
      <c r="D11">
        <v>8</v>
      </c>
      <c r="E11" s="21">
        <v>0.2</v>
      </c>
      <c r="F11" s="18">
        <f>14701.557/3</f>
        <v>4900.5190000000002</v>
      </c>
    </row>
    <row r="12" spans="1:50" x14ac:dyDescent="0.3">
      <c r="A12" s="24"/>
      <c r="B12" s="68" t="s">
        <v>2</v>
      </c>
      <c r="C12" s="17">
        <v>45566</v>
      </c>
      <c r="D12">
        <v>8</v>
      </c>
      <c r="E12" s="16">
        <v>0.04</v>
      </c>
      <c r="F12" s="18">
        <f>3025.835/3</f>
        <v>1008.6116666666667</v>
      </c>
    </row>
    <row r="13" spans="1:50" x14ac:dyDescent="0.3">
      <c r="A13" s="19"/>
      <c r="B13" s="71" t="s">
        <v>3</v>
      </c>
      <c r="C13" s="17">
        <v>45566</v>
      </c>
      <c r="D13">
        <v>8</v>
      </c>
      <c r="E13" s="21">
        <v>0.2</v>
      </c>
      <c r="F13" s="18">
        <f>14701.557/3</f>
        <v>4900.5190000000002</v>
      </c>
    </row>
    <row r="14" spans="1:50" s="1" customFormat="1" x14ac:dyDescent="0.3">
      <c r="B14" s="68" t="s">
        <v>6</v>
      </c>
      <c r="C14" s="17">
        <v>45566</v>
      </c>
      <c r="D14">
        <v>8</v>
      </c>
      <c r="E14" s="91">
        <v>0.3</v>
      </c>
      <c r="F14" s="18">
        <f>22052.335/3</f>
        <v>7350.7783333333327</v>
      </c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</row>
    <row r="15" spans="1:50" x14ac:dyDescent="0.3">
      <c r="A15" s="19"/>
      <c r="B15" s="71" t="s">
        <v>7</v>
      </c>
      <c r="C15" s="17">
        <v>45566</v>
      </c>
      <c r="D15">
        <v>8</v>
      </c>
      <c r="E15" s="21">
        <v>0.36</v>
      </c>
      <c r="F15" s="18">
        <f>26373.334/3</f>
        <v>8791.1113333333324</v>
      </c>
    </row>
    <row r="16" spans="1:50" x14ac:dyDescent="0.3">
      <c r="A16" s="69"/>
      <c r="B16" s="72" t="s">
        <v>4</v>
      </c>
      <c r="C16" s="17">
        <v>45566</v>
      </c>
      <c r="D16">
        <v>8</v>
      </c>
      <c r="E16" s="70">
        <v>1</v>
      </c>
      <c r="F16" s="18">
        <f>73507.784/3</f>
        <v>24502.594666666668</v>
      </c>
      <c r="K16" s="80">
        <f>F34</f>
        <v>109327.15699999999</v>
      </c>
    </row>
    <row r="17" spans="1:6" x14ac:dyDescent="0.3">
      <c r="A17" s="19"/>
      <c r="B17" s="71" t="s">
        <v>1</v>
      </c>
      <c r="C17" s="17">
        <v>45566</v>
      </c>
      <c r="D17">
        <v>8</v>
      </c>
      <c r="E17" s="21">
        <v>0.8</v>
      </c>
      <c r="F17" s="18">
        <f>80762.229/3</f>
        <v>26920.743000000002</v>
      </c>
    </row>
    <row r="18" spans="1:6" ht="16.2" thickBot="1" x14ac:dyDescent="0.35">
      <c r="A18" s="24"/>
      <c r="B18" s="68" t="s">
        <v>8</v>
      </c>
      <c r="C18" s="17">
        <v>45566</v>
      </c>
      <c r="D18">
        <v>8</v>
      </c>
      <c r="E18" s="16">
        <v>0.3</v>
      </c>
      <c r="F18" s="18">
        <f>22026.062/3</f>
        <v>7342.0206666666672</v>
      </c>
    </row>
    <row r="19" spans="1:6" s="15" customFormat="1" ht="15" thickBot="1" x14ac:dyDescent="0.35">
      <c r="A19" s="26" t="s">
        <v>26</v>
      </c>
      <c r="F19" s="27">
        <f>SUM(F10:F18)</f>
        <v>88167.156999999992</v>
      </c>
    </row>
    <row r="22" spans="1:6" x14ac:dyDescent="0.3">
      <c r="A22" s="28" t="s">
        <v>27</v>
      </c>
    </row>
    <row r="23" spans="1:6" ht="28.8" x14ac:dyDescent="0.3">
      <c r="A23" s="28"/>
      <c r="C23" s="29" t="s">
        <v>28</v>
      </c>
    </row>
    <row r="24" spans="1:6" x14ac:dyDescent="0.3">
      <c r="A24" s="30" t="s">
        <v>29</v>
      </c>
      <c r="B24" s="31"/>
      <c r="C24" s="32"/>
    </row>
    <row r="25" spans="1:6" x14ac:dyDescent="0.3">
      <c r="A25" s="33" t="s">
        <v>30</v>
      </c>
      <c r="B25" s="34"/>
      <c r="C25" s="35">
        <v>0</v>
      </c>
    </row>
    <row r="26" spans="1:6" x14ac:dyDescent="0.3">
      <c r="A26" s="36" t="s">
        <v>31</v>
      </c>
      <c r="B26" s="37"/>
      <c r="C26" s="38">
        <v>0</v>
      </c>
    </row>
    <row r="27" spans="1:6" x14ac:dyDescent="0.3">
      <c r="A27" s="33" t="s">
        <v>32</v>
      </c>
      <c r="B27" s="34"/>
      <c r="C27" s="35"/>
    </row>
    <row r="28" spans="1:6" x14ac:dyDescent="0.3">
      <c r="A28" s="39" t="s">
        <v>33</v>
      </c>
      <c r="B28" s="40"/>
      <c r="C28" s="41"/>
    </row>
    <row r="29" spans="1:6" x14ac:dyDescent="0.3">
      <c r="A29" s="4" t="s">
        <v>34</v>
      </c>
      <c r="B29" s="42"/>
      <c r="C29" s="43">
        <f>63480/3</f>
        <v>21160</v>
      </c>
    </row>
    <row r="30" spans="1:6" x14ac:dyDescent="0.3">
      <c r="A30" s="44" t="s">
        <v>35</v>
      </c>
      <c r="B30" s="45"/>
      <c r="C30" s="46"/>
    </row>
    <row r="31" spans="1:6" x14ac:dyDescent="0.3">
      <c r="A31" s="4" t="s">
        <v>11</v>
      </c>
      <c r="B31" s="42"/>
      <c r="C31" s="43"/>
      <c r="D31" s="47"/>
      <c r="E31" s="47"/>
      <c r="F31" s="47"/>
    </row>
    <row r="32" spans="1:6" x14ac:dyDescent="0.3">
      <c r="A32" s="36" t="s">
        <v>36</v>
      </c>
      <c r="B32" s="37"/>
      <c r="C32" s="38"/>
      <c r="D32" s="47"/>
      <c r="E32" s="47"/>
      <c r="F32" s="47"/>
    </row>
    <row r="33" spans="1:6" ht="16.2" thickBot="1" x14ac:dyDescent="0.35">
      <c r="A33" s="48" t="s">
        <v>37</v>
      </c>
      <c r="B33" s="49"/>
      <c r="C33" s="35"/>
      <c r="D33" s="47"/>
      <c r="E33" s="47"/>
      <c r="F33" s="47"/>
    </row>
    <row r="34" spans="1:6" ht="16.2" thickBot="1" x14ac:dyDescent="0.35">
      <c r="A34" s="15" t="s">
        <v>38</v>
      </c>
      <c r="C34" s="27">
        <f>SUM(C24:C33)</f>
        <v>21160</v>
      </c>
      <c r="E34" s="15" t="s">
        <v>39</v>
      </c>
      <c r="F34" s="50">
        <f>SUM(F19+C34)</f>
        <v>109327.15699999999</v>
      </c>
    </row>
    <row r="37" spans="1:6" x14ac:dyDescent="0.3">
      <c r="A37" s="28" t="s">
        <v>40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2E3CA-022F-4D21-ADEF-F62EA5518490}">
  <dimension ref="A1:G34"/>
  <sheetViews>
    <sheetView topLeftCell="A10" workbookViewId="0">
      <selection activeCell="D22" sqref="D22"/>
    </sheetView>
  </sheetViews>
  <sheetFormatPr defaultColWidth="8.796875" defaultRowHeight="15.6" x14ac:dyDescent="0.3"/>
  <cols>
    <col min="1" max="1" width="19" customWidth="1"/>
    <col min="2" max="2" width="27.5" customWidth="1"/>
    <col min="3" max="3" width="12.796875" customWidth="1"/>
    <col min="4" max="4" width="9.296875" customWidth="1"/>
    <col min="5" max="5" width="10.19921875" customWidth="1"/>
    <col min="6" max="6" width="11.69921875" customWidth="1"/>
  </cols>
  <sheetData>
    <row r="1" spans="1:7" ht="18" x14ac:dyDescent="0.35">
      <c r="A1" s="5" t="s">
        <v>13</v>
      </c>
      <c r="B1" s="6"/>
      <c r="C1" s="6"/>
      <c r="D1" s="6"/>
      <c r="E1" s="6"/>
      <c r="F1" s="6"/>
    </row>
    <row r="2" spans="1:7" ht="15" customHeight="1" x14ac:dyDescent="0.3">
      <c r="A2" s="6" t="s">
        <v>14</v>
      </c>
      <c r="B2" s="6"/>
      <c r="C2" s="6"/>
      <c r="D2" s="6"/>
      <c r="E2" s="6"/>
      <c r="F2" s="6"/>
    </row>
    <row r="3" spans="1:7" ht="15" customHeight="1" x14ac:dyDescent="0.3">
      <c r="A3" s="6"/>
      <c r="B3" s="6"/>
      <c r="C3" s="6"/>
      <c r="D3" s="6"/>
      <c r="E3" s="6"/>
      <c r="F3" s="6"/>
    </row>
    <row r="4" spans="1:7" ht="15" customHeight="1" x14ac:dyDescent="0.3">
      <c r="A4" s="7" t="s">
        <v>15</v>
      </c>
      <c r="B4" s="6" t="s">
        <v>64</v>
      </c>
      <c r="C4" s="6"/>
      <c r="D4" s="6"/>
      <c r="E4" s="6"/>
      <c r="F4" s="6"/>
    </row>
    <row r="5" spans="1:7" x14ac:dyDescent="0.3">
      <c r="A5" s="6"/>
      <c r="B5" s="6"/>
      <c r="C5" s="6"/>
      <c r="D5" s="6"/>
      <c r="E5" s="6"/>
      <c r="F5" s="6"/>
    </row>
    <row r="6" spans="1:7" x14ac:dyDescent="0.3">
      <c r="A6" s="8" t="s">
        <v>16</v>
      </c>
      <c r="B6" s="9" t="s">
        <v>17</v>
      </c>
      <c r="C6" s="6"/>
      <c r="D6" s="6"/>
      <c r="E6" s="6"/>
      <c r="F6" s="6"/>
    </row>
    <row r="7" spans="1:7" x14ac:dyDescent="0.3">
      <c r="A7" s="8"/>
      <c r="B7" s="9" t="s">
        <v>18</v>
      </c>
      <c r="C7" s="6"/>
      <c r="D7" s="6"/>
      <c r="E7" s="6"/>
      <c r="F7" s="6"/>
    </row>
    <row r="8" spans="1:7" x14ac:dyDescent="0.3">
      <c r="B8" s="6"/>
      <c r="C8" s="6"/>
      <c r="D8" s="6"/>
      <c r="E8" s="6"/>
      <c r="F8" s="6"/>
    </row>
    <row r="9" spans="1:7" s="15" customFormat="1" ht="57.6" x14ac:dyDescent="0.3">
      <c r="A9" s="10" t="s">
        <v>19</v>
      </c>
      <c r="B9" s="11" t="s">
        <v>20</v>
      </c>
      <c r="C9" s="12" t="s">
        <v>21</v>
      </c>
      <c r="D9" s="13" t="s">
        <v>22</v>
      </c>
      <c r="E9" s="14" t="s">
        <v>23</v>
      </c>
      <c r="F9" s="14" t="s">
        <v>24</v>
      </c>
    </row>
    <row r="10" spans="1:7" x14ac:dyDescent="0.3">
      <c r="A10" s="2" t="s">
        <v>10</v>
      </c>
      <c r="B10" s="16" t="s">
        <v>25</v>
      </c>
      <c r="C10" s="17">
        <v>45566</v>
      </c>
      <c r="D10">
        <v>8</v>
      </c>
      <c r="E10" s="16">
        <v>0.03</v>
      </c>
      <c r="F10" s="18">
        <f>6639/3</f>
        <v>2213</v>
      </c>
      <c r="G10" t="s">
        <v>77</v>
      </c>
    </row>
    <row r="11" spans="1:7" x14ac:dyDescent="0.3">
      <c r="A11" s="2" t="s">
        <v>10</v>
      </c>
      <c r="B11" s="16" t="s">
        <v>25</v>
      </c>
      <c r="C11" s="17">
        <v>45566</v>
      </c>
      <c r="D11">
        <v>8</v>
      </c>
      <c r="E11" s="16">
        <v>0.02</v>
      </c>
      <c r="F11" s="18">
        <f>4426/3</f>
        <v>1475.3333333333333</v>
      </c>
      <c r="G11" t="s">
        <v>78</v>
      </c>
    </row>
    <row r="12" spans="1:7" x14ac:dyDescent="0.3">
      <c r="A12" s="19" t="s">
        <v>9</v>
      </c>
      <c r="B12" s="20" t="s">
        <v>43</v>
      </c>
      <c r="C12" s="74">
        <v>45566</v>
      </c>
      <c r="D12">
        <v>8</v>
      </c>
      <c r="E12" s="21">
        <v>0.14000000000000001</v>
      </c>
      <c r="F12" s="23">
        <f>11052/3</f>
        <v>3684</v>
      </c>
      <c r="G12" t="s">
        <v>79</v>
      </c>
    </row>
    <row r="13" spans="1:7" x14ac:dyDescent="0.3">
      <c r="A13" s="24" t="s">
        <v>9</v>
      </c>
      <c r="B13" s="25" t="s">
        <v>41</v>
      </c>
      <c r="C13" s="17">
        <v>45566</v>
      </c>
      <c r="D13">
        <v>8</v>
      </c>
      <c r="E13" s="16">
        <v>1</v>
      </c>
      <c r="F13" s="18">
        <f>57625/3</f>
        <v>19208.333333333332</v>
      </c>
      <c r="G13" t="s">
        <v>80</v>
      </c>
    </row>
    <row r="14" spans="1:7" x14ac:dyDescent="0.3">
      <c r="A14" s="19" t="s">
        <v>9</v>
      </c>
      <c r="B14" s="20" t="s">
        <v>41</v>
      </c>
      <c r="C14" s="74">
        <v>45566</v>
      </c>
      <c r="D14">
        <v>8</v>
      </c>
      <c r="E14" s="21">
        <v>0.1</v>
      </c>
      <c r="F14" s="23">
        <f>2665/3</f>
        <v>888.33333333333337</v>
      </c>
      <c r="G14" t="s">
        <v>81</v>
      </c>
    </row>
    <row r="15" spans="1:7" ht="16.2" thickBot="1" x14ac:dyDescent="0.35">
      <c r="A15" s="24"/>
      <c r="B15" s="25"/>
      <c r="C15" s="16"/>
      <c r="E15" s="16"/>
      <c r="F15" s="18"/>
    </row>
    <row r="16" spans="1:7" s="15" customFormat="1" ht="15" thickBot="1" x14ac:dyDescent="0.35">
      <c r="A16" s="26" t="s">
        <v>26</v>
      </c>
      <c r="F16" s="27">
        <f>SUM(F10:F15)</f>
        <v>27468.999999999996</v>
      </c>
    </row>
    <row r="19" spans="1:6" x14ac:dyDescent="0.3">
      <c r="A19" s="28" t="s">
        <v>27</v>
      </c>
    </row>
    <row r="20" spans="1:6" ht="28.8" x14ac:dyDescent="0.3">
      <c r="A20" s="28"/>
      <c r="C20" s="29" t="s">
        <v>28</v>
      </c>
    </row>
    <row r="21" spans="1:6" x14ac:dyDescent="0.3">
      <c r="A21" s="30" t="s">
        <v>29</v>
      </c>
      <c r="B21" s="31"/>
      <c r="C21" s="32"/>
    </row>
    <row r="22" spans="1:6" x14ac:dyDescent="0.3">
      <c r="A22" s="33" t="s">
        <v>30</v>
      </c>
      <c r="B22" s="34"/>
      <c r="C22" s="35">
        <v>89090</v>
      </c>
    </row>
    <row r="23" spans="1:6" x14ac:dyDescent="0.3">
      <c r="A23" s="36" t="s">
        <v>31</v>
      </c>
      <c r="B23" s="37"/>
      <c r="C23" s="38">
        <v>0</v>
      </c>
    </row>
    <row r="24" spans="1:6" x14ac:dyDescent="0.3">
      <c r="A24" s="33" t="s">
        <v>32</v>
      </c>
      <c r="B24" s="34"/>
      <c r="C24" s="35"/>
    </row>
    <row r="25" spans="1:6" x14ac:dyDescent="0.3">
      <c r="A25" s="39" t="s">
        <v>33</v>
      </c>
      <c r="B25" s="40"/>
      <c r="C25" s="41">
        <f>22180/3</f>
        <v>7393.333333333333</v>
      </c>
    </row>
    <row r="26" spans="1:6" x14ac:dyDescent="0.3">
      <c r="A26" s="4" t="s">
        <v>34</v>
      </c>
      <c r="B26" s="42"/>
      <c r="C26" s="43">
        <f>74926/3</f>
        <v>24975.333333333332</v>
      </c>
    </row>
    <row r="27" spans="1:6" x14ac:dyDescent="0.3">
      <c r="A27" s="44" t="s">
        <v>35</v>
      </c>
      <c r="B27" s="45"/>
      <c r="C27" s="46"/>
    </row>
    <row r="28" spans="1:6" x14ac:dyDescent="0.3">
      <c r="A28" s="4" t="s">
        <v>11</v>
      </c>
      <c r="B28" s="42"/>
      <c r="C28" s="43">
        <f>2730/3</f>
        <v>910</v>
      </c>
      <c r="D28" s="47"/>
      <c r="E28" s="47"/>
      <c r="F28" s="47"/>
    </row>
    <row r="29" spans="1:6" x14ac:dyDescent="0.3">
      <c r="A29" s="36" t="s">
        <v>36</v>
      </c>
      <c r="B29" s="37"/>
      <c r="C29" s="38"/>
      <c r="D29" s="47"/>
      <c r="E29" s="47"/>
      <c r="F29" s="47"/>
    </row>
    <row r="30" spans="1:6" ht="16.2" thickBot="1" x14ac:dyDescent="0.35">
      <c r="A30" s="48" t="s">
        <v>37</v>
      </c>
      <c r="B30" s="49"/>
      <c r="C30" s="35"/>
      <c r="D30" s="47"/>
      <c r="E30" s="47"/>
      <c r="F30" s="47"/>
    </row>
    <row r="31" spans="1:6" ht="16.2" thickBot="1" x14ac:dyDescent="0.35">
      <c r="A31" s="15" t="s">
        <v>38</v>
      </c>
      <c r="C31" s="27">
        <f>SUM(C21:C30)</f>
        <v>122368.66666666666</v>
      </c>
      <c r="E31" s="15" t="s">
        <v>39</v>
      </c>
      <c r="F31" s="50">
        <f>SUM(F16+C31)</f>
        <v>149837.66666666666</v>
      </c>
    </row>
    <row r="34" spans="1:1" x14ac:dyDescent="0.3">
      <c r="A34" s="28" t="s">
        <v>40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E533FC-1784-4414-8F4A-9C7C50797491}">
  <dimension ref="A1:H33"/>
  <sheetViews>
    <sheetView topLeftCell="A19" workbookViewId="0">
      <selection activeCell="C21" sqref="C21"/>
    </sheetView>
  </sheetViews>
  <sheetFormatPr defaultColWidth="8.796875" defaultRowHeight="15.6" x14ac:dyDescent="0.3"/>
  <cols>
    <col min="1" max="1" width="19" customWidth="1"/>
    <col min="2" max="2" width="27.5" customWidth="1"/>
    <col min="3" max="3" width="12.796875" customWidth="1"/>
    <col min="4" max="4" width="9.296875" customWidth="1"/>
    <col min="5" max="5" width="10.19921875" customWidth="1"/>
    <col min="6" max="6" width="11.69921875" customWidth="1"/>
    <col min="7" max="7" width="24.296875" customWidth="1"/>
  </cols>
  <sheetData>
    <row r="1" spans="1:8" ht="18" x14ac:dyDescent="0.35">
      <c r="A1" s="5" t="s">
        <v>13</v>
      </c>
      <c r="B1" s="6"/>
      <c r="C1" s="6"/>
      <c r="D1" s="6"/>
      <c r="E1" s="6"/>
      <c r="F1" s="6"/>
    </row>
    <row r="2" spans="1:8" ht="15" customHeight="1" x14ac:dyDescent="0.3">
      <c r="A2" s="6" t="s">
        <v>14</v>
      </c>
      <c r="B2" s="6"/>
      <c r="C2" s="6"/>
      <c r="D2" s="6"/>
      <c r="E2" s="6"/>
      <c r="F2" s="6"/>
    </row>
    <row r="3" spans="1:8" ht="15" customHeight="1" x14ac:dyDescent="0.3">
      <c r="A3" s="6"/>
      <c r="B3" s="6"/>
      <c r="C3" s="6"/>
      <c r="D3" s="6"/>
      <c r="E3" s="6"/>
      <c r="F3" s="6"/>
    </row>
    <row r="4" spans="1:8" ht="15" customHeight="1" x14ac:dyDescent="0.3">
      <c r="A4" s="7" t="s">
        <v>15</v>
      </c>
      <c r="B4" s="6" t="s">
        <v>65</v>
      </c>
      <c r="C4" s="6"/>
      <c r="D4" s="6"/>
      <c r="E4" s="6"/>
      <c r="F4" s="6"/>
    </row>
    <row r="5" spans="1:8" x14ac:dyDescent="0.3">
      <c r="A5" s="6"/>
      <c r="B5" s="6"/>
      <c r="C5" s="6"/>
      <c r="D5" s="6"/>
      <c r="E5" s="6"/>
      <c r="F5" s="6"/>
    </row>
    <row r="6" spans="1:8" x14ac:dyDescent="0.3">
      <c r="A6" s="8" t="s">
        <v>16</v>
      </c>
      <c r="B6" s="9" t="s">
        <v>17</v>
      </c>
      <c r="C6" s="6"/>
      <c r="D6" s="6"/>
      <c r="E6" s="6"/>
      <c r="F6" s="6"/>
    </row>
    <row r="7" spans="1:8" x14ac:dyDescent="0.3">
      <c r="A7" s="8"/>
      <c r="B7" s="9" t="s">
        <v>18</v>
      </c>
      <c r="C7" s="6"/>
      <c r="D7" s="6"/>
      <c r="E7" s="6"/>
      <c r="F7" s="6"/>
    </row>
    <row r="8" spans="1:8" x14ac:dyDescent="0.3">
      <c r="B8" s="6"/>
      <c r="C8" s="6"/>
      <c r="D8" s="6"/>
      <c r="E8" s="6"/>
      <c r="F8" s="6"/>
    </row>
    <row r="9" spans="1:8" s="15" customFormat="1" ht="57.6" x14ac:dyDescent="0.3">
      <c r="A9" s="10" t="s">
        <v>19</v>
      </c>
      <c r="B9" s="11" t="s">
        <v>20</v>
      </c>
      <c r="C9" s="12" t="s">
        <v>21</v>
      </c>
      <c r="D9" s="13" t="s">
        <v>22</v>
      </c>
      <c r="E9" s="14" t="s">
        <v>23</v>
      </c>
      <c r="F9" s="14" t="s">
        <v>24</v>
      </c>
    </row>
    <row r="10" spans="1:8" s="96" customFormat="1" ht="14.4" x14ac:dyDescent="0.3">
      <c r="A10" s="93" t="s">
        <v>9</v>
      </c>
      <c r="B10" s="94" t="s">
        <v>41</v>
      </c>
      <c r="C10" s="95">
        <v>45566</v>
      </c>
      <c r="D10" s="96">
        <v>8</v>
      </c>
      <c r="E10" s="94">
        <v>0.5</v>
      </c>
      <c r="F10" s="97">
        <f>47952.25/3</f>
        <v>15984.083333333334</v>
      </c>
      <c r="G10" s="96" t="s">
        <v>85</v>
      </c>
    </row>
    <row r="11" spans="1:8" s="96" customFormat="1" ht="14.4" x14ac:dyDescent="0.3">
      <c r="A11" s="19" t="s">
        <v>10</v>
      </c>
      <c r="B11" s="94" t="s">
        <v>25</v>
      </c>
      <c r="C11" s="98">
        <v>45566</v>
      </c>
      <c r="D11" s="99">
        <v>8</v>
      </c>
      <c r="E11" s="100">
        <v>1</v>
      </c>
      <c r="F11" s="101">
        <f>80276.98/3</f>
        <v>26758.993333333332</v>
      </c>
      <c r="G11" s="96" t="s">
        <v>84</v>
      </c>
      <c r="H11" s="102"/>
    </row>
    <row r="12" spans="1:8" x14ac:dyDescent="0.3">
      <c r="A12" s="24"/>
      <c r="B12" s="25"/>
      <c r="C12" s="16"/>
      <c r="E12" s="16"/>
      <c r="F12" s="18"/>
    </row>
    <row r="13" spans="1:8" x14ac:dyDescent="0.3">
      <c r="A13" s="19"/>
      <c r="B13" s="20"/>
      <c r="C13" s="21"/>
      <c r="D13" s="22"/>
      <c r="E13" s="21"/>
      <c r="F13" s="23"/>
    </row>
    <row r="14" spans="1:8" ht="16.2" thickBot="1" x14ac:dyDescent="0.35">
      <c r="A14" s="24"/>
      <c r="B14" s="25"/>
      <c r="C14" s="16"/>
      <c r="E14" s="16"/>
      <c r="F14" s="18"/>
    </row>
    <row r="15" spans="1:8" s="15" customFormat="1" ht="15" thickBot="1" x14ac:dyDescent="0.35">
      <c r="A15" s="26" t="s">
        <v>26</v>
      </c>
      <c r="F15" s="27">
        <f>SUM(F10:F14)</f>
        <v>42743.076666666668</v>
      </c>
    </row>
    <row r="18" spans="1:6" x14ac:dyDescent="0.3">
      <c r="A18" s="28" t="s">
        <v>27</v>
      </c>
    </row>
    <row r="19" spans="1:6" ht="28.8" x14ac:dyDescent="0.3">
      <c r="A19" s="28"/>
      <c r="C19" s="29" t="s">
        <v>28</v>
      </c>
    </row>
    <row r="20" spans="1:6" x14ac:dyDescent="0.3">
      <c r="A20" s="30" t="s">
        <v>29</v>
      </c>
      <c r="B20" s="31"/>
      <c r="C20" s="32"/>
    </row>
    <row r="21" spans="1:6" x14ac:dyDescent="0.3">
      <c r="A21" s="33" t="s">
        <v>30</v>
      </c>
      <c r="B21" s="34"/>
      <c r="C21" s="35">
        <v>14000</v>
      </c>
    </row>
    <row r="22" spans="1:6" x14ac:dyDescent="0.3">
      <c r="A22" s="36" t="s">
        <v>31</v>
      </c>
      <c r="B22" s="37"/>
      <c r="C22" s="38">
        <v>0</v>
      </c>
    </row>
    <row r="23" spans="1:6" x14ac:dyDescent="0.3">
      <c r="A23" s="33" t="s">
        <v>32</v>
      </c>
      <c r="B23" s="34"/>
      <c r="C23" s="35"/>
    </row>
    <row r="24" spans="1:6" x14ac:dyDescent="0.3">
      <c r="A24" s="39" t="s">
        <v>33</v>
      </c>
      <c r="B24" s="40"/>
      <c r="C24" s="41"/>
    </row>
    <row r="25" spans="1:6" x14ac:dyDescent="0.3">
      <c r="A25" s="4" t="s">
        <v>34</v>
      </c>
      <c r="B25" s="42"/>
      <c r="C25" s="43">
        <f>89953.5/3</f>
        <v>29984.5</v>
      </c>
    </row>
    <row r="26" spans="1:6" x14ac:dyDescent="0.3">
      <c r="A26" s="44" t="s">
        <v>35</v>
      </c>
      <c r="B26" s="45"/>
      <c r="C26" s="46"/>
    </row>
    <row r="27" spans="1:6" x14ac:dyDescent="0.3">
      <c r="A27" s="4" t="s">
        <v>11</v>
      </c>
      <c r="B27" s="42"/>
      <c r="C27" s="43"/>
      <c r="D27" s="47"/>
      <c r="E27" s="47"/>
      <c r="F27" s="47"/>
    </row>
    <row r="28" spans="1:6" x14ac:dyDescent="0.3">
      <c r="A28" s="36" t="s">
        <v>36</v>
      </c>
      <c r="B28" s="37"/>
      <c r="C28" s="38"/>
      <c r="D28" s="47"/>
      <c r="E28" s="47"/>
      <c r="F28" s="47"/>
    </row>
    <row r="29" spans="1:6" ht="16.2" thickBot="1" x14ac:dyDescent="0.35">
      <c r="A29" s="48" t="s">
        <v>37</v>
      </c>
      <c r="B29" s="49"/>
      <c r="C29" s="35"/>
      <c r="D29" s="47"/>
      <c r="E29" s="47"/>
      <c r="F29" s="47"/>
    </row>
    <row r="30" spans="1:6" ht="16.2" thickBot="1" x14ac:dyDescent="0.35">
      <c r="A30" s="15" t="s">
        <v>38</v>
      </c>
      <c r="C30" s="27">
        <f>SUM(C20:C29)</f>
        <v>43984.5</v>
      </c>
      <c r="E30" s="15" t="s">
        <v>39</v>
      </c>
      <c r="F30" s="50">
        <f>SUM(F15+C30)</f>
        <v>86727.57666666666</v>
      </c>
    </row>
    <row r="33" spans="1:1" x14ac:dyDescent="0.3">
      <c r="A33" s="28" t="s">
        <v>40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B93D5-C356-44EC-B6A7-82A3967AF949}">
  <dimension ref="A1:G33"/>
  <sheetViews>
    <sheetView topLeftCell="A23" workbookViewId="0">
      <selection activeCell="F12" sqref="F12"/>
    </sheetView>
  </sheetViews>
  <sheetFormatPr defaultColWidth="8.796875" defaultRowHeight="15.6" x14ac:dyDescent="0.3"/>
  <cols>
    <col min="1" max="1" width="19" customWidth="1"/>
    <col min="2" max="2" width="27.5" customWidth="1"/>
    <col min="3" max="3" width="12.796875" customWidth="1"/>
    <col min="4" max="4" width="9.296875" customWidth="1"/>
    <col min="5" max="5" width="10.19921875" customWidth="1"/>
    <col min="6" max="6" width="11.69921875" customWidth="1"/>
  </cols>
  <sheetData>
    <row r="1" spans="1:7" ht="18" x14ac:dyDescent="0.35">
      <c r="A1" s="5" t="s">
        <v>13</v>
      </c>
      <c r="B1" s="6"/>
      <c r="C1" s="6"/>
      <c r="D1" s="6"/>
      <c r="E1" s="6"/>
      <c r="F1" s="6"/>
    </row>
    <row r="2" spans="1:7" ht="15" customHeight="1" x14ac:dyDescent="0.3">
      <c r="A2" s="6" t="s">
        <v>14</v>
      </c>
      <c r="B2" s="6"/>
      <c r="C2" s="6"/>
      <c r="D2" s="6"/>
      <c r="E2" s="6"/>
      <c r="F2" s="6"/>
    </row>
    <row r="3" spans="1:7" ht="15" customHeight="1" x14ac:dyDescent="0.3">
      <c r="A3" s="6"/>
      <c r="B3" s="6"/>
      <c r="C3" s="6"/>
      <c r="D3" s="6"/>
      <c r="E3" s="6"/>
      <c r="F3" s="6"/>
    </row>
    <row r="4" spans="1:7" ht="15" customHeight="1" x14ac:dyDescent="0.3">
      <c r="A4" s="7" t="s">
        <v>15</v>
      </c>
      <c r="B4" s="6" t="s">
        <v>66</v>
      </c>
      <c r="C4" s="6"/>
      <c r="D4" s="6"/>
      <c r="E4" s="6"/>
      <c r="F4" s="6"/>
    </row>
    <row r="5" spans="1:7" x14ac:dyDescent="0.3">
      <c r="A5" s="6"/>
      <c r="B5" s="6"/>
      <c r="C5" s="6"/>
      <c r="D5" s="6"/>
      <c r="E5" s="6"/>
      <c r="F5" s="6"/>
    </row>
    <row r="6" spans="1:7" x14ac:dyDescent="0.3">
      <c r="A6" s="8" t="s">
        <v>16</v>
      </c>
      <c r="B6" s="9" t="s">
        <v>17</v>
      </c>
      <c r="C6" s="6"/>
      <c r="D6" s="6"/>
      <c r="E6" s="6"/>
      <c r="F6" s="6"/>
    </row>
    <row r="7" spans="1:7" x14ac:dyDescent="0.3">
      <c r="A7" s="8"/>
      <c r="B7" s="9" t="s">
        <v>18</v>
      </c>
      <c r="C7" s="6"/>
      <c r="D7" s="6"/>
      <c r="E7" s="6"/>
      <c r="F7" s="6"/>
    </row>
    <row r="8" spans="1:7" x14ac:dyDescent="0.3">
      <c r="B8" s="6"/>
      <c r="C8" s="6"/>
      <c r="D8" s="6"/>
      <c r="E8" s="6"/>
      <c r="F8" s="6"/>
    </row>
    <row r="9" spans="1:7" s="15" customFormat="1" ht="57.6" x14ac:dyDescent="0.3">
      <c r="A9" s="10" t="s">
        <v>19</v>
      </c>
      <c r="B9" s="11" t="s">
        <v>20</v>
      </c>
      <c r="C9" s="12" t="s">
        <v>21</v>
      </c>
      <c r="D9" s="13" t="s">
        <v>22</v>
      </c>
      <c r="E9" s="14" t="s">
        <v>23</v>
      </c>
      <c r="F9" s="14" t="s">
        <v>24</v>
      </c>
    </row>
    <row r="10" spans="1:7" x14ac:dyDescent="0.3">
      <c r="A10" s="2" t="s">
        <v>10</v>
      </c>
      <c r="B10" s="16" t="s">
        <v>25</v>
      </c>
      <c r="C10" s="17">
        <v>45566</v>
      </c>
      <c r="D10">
        <v>8</v>
      </c>
      <c r="E10" s="16">
        <v>0.05</v>
      </c>
      <c r="F10" s="18">
        <f>3046.11/6</f>
        <v>507.685</v>
      </c>
      <c r="G10" t="s">
        <v>82</v>
      </c>
    </row>
    <row r="11" spans="1:7" s="56" customFormat="1" x14ac:dyDescent="0.3">
      <c r="A11" s="51" t="s">
        <v>10</v>
      </c>
      <c r="B11" s="52" t="s">
        <v>25</v>
      </c>
      <c r="C11" s="74">
        <v>45566</v>
      </c>
      <c r="D11" s="22">
        <v>8</v>
      </c>
      <c r="E11" s="53">
        <v>0.05</v>
      </c>
      <c r="F11" s="18">
        <f>3046.11/6</f>
        <v>507.685</v>
      </c>
      <c r="G11" t="s">
        <v>83</v>
      </c>
    </row>
    <row r="12" spans="1:7" x14ac:dyDescent="0.3">
      <c r="A12" s="24"/>
      <c r="B12" s="25"/>
      <c r="C12" s="16"/>
      <c r="E12" s="16"/>
      <c r="F12" s="18"/>
    </row>
    <row r="13" spans="1:7" x14ac:dyDescent="0.3">
      <c r="A13" s="19"/>
      <c r="B13" s="20"/>
      <c r="C13" s="21"/>
      <c r="D13" s="22"/>
      <c r="E13" s="21"/>
      <c r="F13" s="23"/>
    </row>
    <row r="14" spans="1:7" ht="16.2" thickBot="1" x14ac:dyDescent="0.35">
      <c r="A14" s="24"/>
      <c r="B14" s="25"/>
      <c r="C14" s="16"/>
      <c r="E14" s="16"/>
      <c r="F14" s="18"/>
    </row>
    <row r="15" spans="1:7" s="15" customFormat="1" ht="15" thickBot="1" x14ac:dyDescent="0.35">
      <c r="A15" s="26" t="s">
        <v>26</v>
      </c>
      <c r="F15" s="27">
        <f>SUM(F10:F14)</f>
        <v>1015.37</v>
      </c>
    </row>
    <row r="18" spans="1:6" x14ac:dyDescent="0.3">
      <c r="A18" s="28" t="s">
        <v>27</v>
      </c>
    </row>
    <row r="19" spans="1:6" ht="28.8" x14ac:dyDescent="0.3">
      <c r="A19" s="28"/>
      <c r="C19" s="29" t="s">
        <v>28</v>
      </c>
    </row>
    <row r="20" spans="1:6" x14ac:dyDescent="0.3">
      <c r="A20" s="30" t="s">
        <v>29</v>
      </c>
      <c r="B20" s="31"/>
      <c r="C20" s="32"/>
    </row>
    <row r="21" spans="1:6" x14ac:dyDescent="0.3">
      <c r="A21" s="33" t="s">
        <v>30</v>
      </c>
      <c r="B21" s="34"/>
      <c r="C21" s="35">
        <v>1500</v>
      </c>
    </row>
    <row r="22" spans="1:6" x14ac:dyDescent="0.3">
      <c r="A22" s="36" t="s">
        <v>31</v>
      </c>
      <c r="B22" s="37"/>
      <c r="C22" s="38">
        <v>0</v>
      </c>
    </row>
    <row r="23" spans="1:6" x14ac:dyDescent="0.3">
      <c r="A23" s="33" t="s">
        <v>32</v>
      </c>
      <c r="B23" s="34"/>
      <c r="C23" s="35"/>
    </row>
    <row r="24" spans="1:6" x14ac:dyDescent="0.3">
      <c r="A24" s="39" t="s">
        <v>33</v>
      </c>
      <c r="B24" s="40"/>
      <c r="C24" s="41">
        <f>1086.24/3</f>
        <v>362.08</v>
      </c>
    </row>
    <row r="25" spans="1:6" x14ac:dyDescent="0.3">
      <c r="A25" s="4" t="s">
        <v>34</v>
      </c>
      <c r="B25" s="42"/>
      <c r="C25" s="43">
        <f>4120.32/3</f>
        <v>1373.4399999999998</v>
      </c>
    </row>
    <row r="26" spans="1:6" x14ac:dyDescent="0.3">
      <c r="A26" s="44" t="s">
        <v>35</v>
      </c>
      <c r="B26" s="45"/>
      <c r="C26" s="46"/>
    </row>
    <row r="27" spans="1:6" x14ac:dyDescent="0.3">
      <c r="A27" s="4" t="s">
        <v>11</v>
      </c>
      <c r="B27" s="42"/>
      <c r="C27" s="43">
        <f>97.08/3</f>
        <v>32.36</v>
      </c>
      <c r="D27" s="47"/>
      <c r="E27" s="47"/>
      <c r="F27" s="47"/>
    </row>
    <row r="28" spans="1:6" x14ac:dyDescent="0.3">
      <c r="A28" s="36" t="s">
        <v>36</v>
      </c>
      <c r="B28" s="37"/>
      <c r="C28" s="38"/>
      <c r="D28" s="47"/>
      <c r="E28" s="47"/>
      <c r="F28" s="47"/>
    </row>
    <row r="29" spans="1:6" ht="16.2" thickBot="1" x14ac:dyDescent="0.35">
      <c r="A29" s="48" t="s">
        <v>37</v>
      </c>
      <c r="B29" s="49"/>
      <c r="C29" s="35"/>
      <c r="D29" s="47"/>
      <c r="E29" s="47"/>
      <c r="F29" s="47"/>
    </row>
    <row r="30" spans="1:6" ht="16.2" thickBot="1" x14ac:dyDescent="0.35">
      <c r="A30" s="15" t="s">
        <v>38</v>
      </c>
      <c r="C30" s="27">
        <f>SUM(C20:C29)</f>
        <v>3267.8799999999997</v>
      </c>
      <c r="E30" s="15" t="s">
        <v>39</v>
      </c>
      <c r="F30" s="50">
        <f>SUM(F15+C30)</f>
        <v>4283.25</v>
      </c>
    </row>
    <row r="33" spans="1:1" x14ac:dyDescent="0.3">
      <c r="A33" s="28" t="s">
        <v>40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D027C-970C-4440-8992-EBDAB4919E8D}">
  <dimension ref="B1:L19"/>
  <sheetViews>
    <sheetView tabSelected="1" workbookViewId="0">
      <selection activeCell="H18" sqref="H18"/>
    </sheetView>
  </sheetViews>
  <sheetFormatPr defaultColWidth="8.796875" defaultRowHeight="15.6" x14ac:dyDescent="0.3"/>
  <cols>
    <col min="2" max="2" width="10.296875" customWidth="1"/>
    <col min="3" max="3" width="12.69921875" bestFit="1" customWidth="1"/>
    <col min="5" max="5" width="12.69921875" customWidth="1"/>
    <col min="6" max="6" width="12.59765625" customWidth="1"/>
    <col min="7" max="7" width="14" customWidth="1"/>
    <col min="9" max="9" width="12.19921875" customWidth="1"/>
    <col min="10" max="10" width="11.19921875" customWidth="1"/>
    <col min="11" max="11" width="12.296875" customWidth="1"/>
    <col min="12" max="12" width="12.69921875" bestFit="1" customWidth="1"/>
  </cols>
  <sheetData>
    <row r="1" spans="2:12" ht="16.2" thickBot="1" x14ac:dyDescent="0.35">
      <c r="E1" s="112" t="s">
        <v>93</v>
      </c>
      <c r="F1" s="113" t="s">
        <v>89</v>
      </c>
      <c r="G1" s="114" t="s">
        <v>90</v>
      </c>
    </row>
    <row r="2" spans="2:12" x14ac:dyDescent="0.3">
      <c r="B2" s="82" t="s">
        <v>44</v>
      </c>
      <c r="C2" s="83">
        <f>QUB!F29</f>
        <v>5158</v>
      </c>
      <c r="E2" s="103">
        <f>(QUB!F15+QUB!C23+QUB!C24+QUB!C26)</f>
        <v>5157.9999999999991</v>
      </c>
      <c r="F2" s="104">
        <f>QUB!C21</f>
        <v>0</v>
      </c>
      <c r="G2" s="105">
        <f t="shared" ref="G2:G14" si="0">E2+F2</f>
        <v>5157.9999999999991</v>
      </c>
      <c r="I2" s="80"/>
      <c r="J2" s="80"/>
      <c r="K2" s="80"/>
    </row>
    <row r="3" spans="2:12" x14ac:dyDescent="0.3">
      <c r="B3" s="84" t="s">
        <v>45</v>
      </c>
      <c r="C3" s="85">
        <f>'BHM Bio'!F30</f>
        <v>54967.825833333329</v>
      </c>
      <c r="E3" s="103">
        <f>('BHM Bio'!F15+'BHM Bio'!C24)</f>
        <v>48301.159166666665</v>
      </c>
      <c r="F3" s="104">
        <f>'BHM Bio'!C21</f>
        <v>6666.666666666667</v>
      </c>
      <c r="G3" s="105">
        <f t="shared" si="0"/>
        <v>54967.825833333329</v>
      </c>
      <c r="I3" s="80"/>
      <c r="J3" s="80"/>
      <c r="K3" s="80"/>
    </row>
    <row r="4" spans="2:12" x14ac:dyDescent="0.3">
      <c r="B4" s="84" t="s">
        <v>46</v>
      </c>
      <c r="C4" s="85">
        <f>'Bhm Phys'!F30</f>
        <v>10457.666666666668</v>
      </c>
      <c r="E4" s="103">
        <f>('Bhm Phys'!F15+'Bhm Phys'!C24+'Bhm Phys'!C25+'Bhm Phys'!C27)</f>
        <v>8457.6666666666661</v>
      </c>
      <c r="F4" s="104">
        <f>'Bhm Phys'!C21</f>
        <v>2000</v>
      </c>
      <c r="G4" s="105">
        <f t="shared" si="0"/>
        <v>10457.666666666666</v>
      </c>
      <c r="I4" s="80"/>
      <c r="J4" s="80"/>
      <c r="K4" s="80"/>
    </row>
    <row r="5" spans="2:12" x14ac:dyDescent="0.3">
      <c r="B5" s="84" t="s">
        <v>47</v>
      </c>
      <c r="C5" s="85">
        <f>ICR!F30</f>
        <v>2188.6666666666665</v>
      </c>
      <c r="E5" s="103">
        <f>(ICR!F15+ICR!C24+ICR!C25)</f>
        <v>2188.6666666666665</v>
      </c>
      <c r="F5" s="104">
        <f>ICR!C21</f>
        <v>0</v>
      </c>
      <c r="G5" s="105">
        <f t="shared" si="0"/>
        <v>2188.6666666666665</v>
      </c>
      <c r="I5" s="80"/>
      <c r="J5" s="80"/>
      <c r="K5" s="80"/>
    </row>
    <row r="6" spans="2:12" x14ac:dyDescent="0.3">
      <c r="B6" s="84" t="s">
        <v>48</v>
      </c>
      <c r="C6" s="85">
        <f>ICL!F29</f>
        <v>148514.33333333331</v>
      </c>
      <c r="E6" s="103">
        <f>(ICL!F14+ICL!C23+ICL!C24+ICL!C26)</f>
        <v>108514.33333333333</v>
      </c>
      <c r="F6" s="104">
        <f>ICL!C20</f>
        <v>40000</v>
      </c>
      <c r="G6" s="105">
        <f t="shared" si="0"/>
        <v>148514.33333333331</v>
      </c>
      <c r="I6" s="80"/>
      <c r="J6" s="80"/>
      <c r="K6" s="80"/>
    </row>
    <row r="7" spans="2:12" x14ac:dyDescent="0.3">
      <c r="B7" s="84" t="s">
        <v>49</v>
      </c>
      <c r="C7" s="85">
        <f>Liv!F30</f>
        <v>46359.573333333334</v>
      </c>
      <c r="E7" s="103">
        <f>(Liv!F15+Liv!C24+Liv!C25+Liv!C27)</f>
        <v>46359.573333333341</v>
      </c>
      <c r="F7" s="104">
        <f>Liv!C22</f>
        <v>0</v>
      </c>
      <c r="G7" s="105">
        <f t="shared" si="0"/>
        <v>46359.573333333341</v>
      </c>
      <c r="I7" s="80"/>
      <c r="J7" s="80"/>
      <c r="K7" s="80"/>
    </row>
    <row r="8" spans="2:12" x14ac:dyDescent="0.3">
      <c r="B8" s="84" t="s">
        <v>50</v>
      </c>
      <c r="C8" s="85">
        <f>Man!F30</f>
        <v>9516.2115109822298</v>
      </c>
      <c r="E8" s="103">
        <f>Man!H15+Man!E28</f>
        <v>9516.2115109822298</v>
      </c>
      <c r="F8" s="104">
        <f>Man!C21</f>
        <v>0</v>
      </c>
      <c r="G8" s="105">
        <f>E8</f>
        <v>9516.2115109822298</v>
      </c>
      <c r="I8" s="80"/>
      <c r="J8" s="80"/>
      <c r="K8" s="80"/>
    </row>
    <row r="9" spans="2:12" x14ac:dyDescent="0.3">
      <c r="B9" s="84" t="s">
        <v>51</v>
      </c>
      <c r="C9" s="85">
        <f>QMUL!F30</f>
        <v>2166.6666666666665</v>
      </c>
      <c r="E9" s="103">
        <f>QMUL!F15/3</f>
        <v>0</v>
      </c>
      <c r="F9" s="104">
        <f>QMUL!C21</f>
        <v>2166.6666666666665</v>
      </c>
      <c r="G9" s="105">
        <f t="shared" si="0"/>
        <v>2166.6666666666665</v>
      </c>
      <c r="I9" s="80"/>
      <c r="J9" s="80"/>
      <c r="K9" s="80"/>
    </row>
    <row r="10" spans="2:12" x14ac:dyDescent="0.3">
      <c r="B10" s="84" t="s">
        <v>52</v>
      </c>
      <c r="C10" s="85">
        <f>RHUL!F30</f>
        <v>36737</v>
      </c>
      <c r="E10" s="103">
        <f>(RHUL!F15+RHUL!C24+RHUL!C25+RHUL!C27)</f>
        <v>36737.000000000007</v>
      </c>
      <c r="F10" s="104">
        <f>RHUL!C22</f>
        <v>0</v>
      </c>
      <c r="G10" s="105">
        <f t="shared" si="0"/>
        <v>36737.000000000007</v>
      </c>
      <c r="I10" s="80"/>
      <c r="J10" s="80"/>
      <c r="K10" s="80"/>
    </row>
    <row r="11" spans="2:12" x14ac:dyDescent="0.3">
      <c r="B11" s="84" t="s">
        <v>53</v>
      </c>
      <c r="C11" s="85">
        <f>Daresbury!F34</f>
        <v>109327.15699999999</v>
      </c>
      <c r="E11" s="103">
        <f>(Daresbury!F19+Daresbury!C29)</f>
        <v>109327.15699999999</v>
      </c>
      <c r="F11" s="104">
        <f>Daresbury!C25</f>
        <v>0</v>
      </c>
      <c r="G11" s="105">
        <f t="shared" si="0"/>
        <v>109327.15699999999</v>
      </c>
      <c r="I11" s="80"/>
      <c r="J11" s="80"/>
      <c r="K11" s="80"/>
    </row>
    <row r="12" spans="2:12" x14ac:dyDescent="0.3">
      <c r="B12" s="84" t="s">
        <v>54</v>
      </c>
      <c r="C12" s="85">
        <f>Strath!F31</f>
        <v>149837.66666666666</v>
      </c>
      <c r="E12" s="103">
        <f>(Strath!F16+Strath!C25+Strath!C26+Strath!C28)</f>
        <v>60747.666666666657</v>
      </c>
      <c r="F12" s="104">
        <f>Strath!C22</f>
        <v>89090</v>
      </c>
      <c r="G12" s="105">
        <f t="shared" si="0"/>
        <v>149837.66666666666</v>
      </c>
      <c r="I12" s="80"/>
      <c r="J12" s="80"/>
      <c r="K12" s="80"/>
    </row>
    <row r="13" spans="2:12" x14ac:dyDescent="0.3">
      <c r="B13" s="84" t="s">
        <v>55</v>
      </c>
      <c r="C13" s="85">
        <f>Swansea!F30</f>
        <v>86727.57666666666</v>
      </c>
      <c r="E13" s="103">
        <f>(Swansea!F15+Swansea!C25)</f>
        <v>72727.57666666666</v>
      </c>
      <c r="F13" s="104">
        <f>Swansea!C21</f>
        <v>14000</v>
      </c>
      <c r="G13" s="105">
        <f t="shared" si="0"/>
        <v>86727.57666666666</v>
      </c>
      <c r="I13" s="80"/>
      <c r="J13" s="80"/>
      <c r="K13" s="80"/>
    </row>
    <row r="14" spans="2:12" ht="16.2" thickBot="1" x14ac:dyDescent="0.35">
      <c r="B14" s="84" t="s">
        <v>12</v>
      </c>
      <c r="C14" s="86">
        <f>UCL!F30</f>
        <v>4283.25</v>
      </c>
      <c r="E14" s="103">
        <f>(UCL!F15+UCL!C24+UCL!C25+UCL!C27)</f>
        <v>2783.25</v>
      </c>
      <c r="F14" s="104">
        <f>UCL!C21</f>
        <v>1500</v>
      </c>
      <c r="G14" s="105">
        <f t="shared" si="0"/>
        <v>4283.25</v>
      </c>
      <c r="I14" s="80"/>
      <c r="J14" s="80"/>
      <c r="K14" s="80"/>
    </row>
    <row r="15" spans="2:12" ht="16.2" thickBot="1" x14ac:dyDescent="0.35">
      <c r="B15" s="111" t="s">
        <v>88</v>
      </c>
      <c r="C15" s="81">
        <f>SUM(C2:C14)</f>
        <v>666241.59434431558</v>
      </c>
      <c r="E15" s="106">
        <f>SUM(E2:E14)</f>
        <v>510818.26101098221</v>
      </c>
      <c r="F15" s="109">
        <f>SUM(F2:F14)</f>
        <v>155423.33333333334</v>
      </c>
      <c r="G15" s="107">
        <f t="shared" ref="G15" si="1">SUM(G2:G14)</f>
        <v>666241.59434431558</v>
      </c>
      <c r="I15" s="80"/>
      <c r="J15" s="80"/>
      <c r="K15" s="80"/>
      <c r="L15" s="80"/>
    </row>
    <row r="17" spans="2:7" ht="31.2" x14ac:dyDescent="0.3">
      <c r="B17" s="110" t="s">
        <v>92</v>
      </c>
      <c r="C17" s="67">
        <f>C15*0.8</f>
        <v>532993.27547545254</v>
      </c>
      <c r="F17" t="s">
        <v>92</v>
      </c>
      <c r="G17" s="67">
        <f>G15*0.8</f>
        <v>532993.27547545254</v>
      </c>
    </row>
    <row r="19" spans="2:7" ht="31.2" x14ac:dyDescent="0.3">
      <c r="B19" s="110" t="s">
        <v>91</v>
      </c>
      <c r="C19" s="108">
        <v>533000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F6572-A2FD-4E3D-B47D-A9AD397C9AE4}">
  <dimension ref="A1:H33"/>
  <sheetViews>
    <sheetView topLeftCell="A13" workbookViewId="0">
      <selection activeCell="F31" sqref="F31"/>
    </sheetView>
  </sheetViews>
  <sheetFormatPr defaultColWidth="8.796875" defaultRowHeight="15.6" x14ac:dyDescent="0.3"/>
  <cols>
    <col min="1" max="1" width="19" customWidth="1"/>
    <col min="2" max="2" width="27.5" customWidth="1"/>
    <col min="3" max="3" width="12.796875" customWidth="1"/>
    <col min="4" max="4" width="9.296875" customWidth="1"/>
    <col min="5" max="5" width="10.19921875" customWidth="1"/>
    <col min="6" max="6" width="11.69921875" customWidth="1"/>
  </cols>
  <sheetData>
    <row r="1" spans="1:8" ht="18" x14ac:dyDescent="0.35">
      <c r="A1" s="5" t="s">
        <v>13</v>
      </c>
      <c r="B1" s="6"/>
      <c r="C1" s="6"/>
      <c r="D1" s="6"/>
      <c r="E1" s="6"/>
      <c r="F1" s="6"/>
    </row>
    <row r="2" spans="1:8" ht="15" customHeight="1" x14ac:dyDescent="0.3">
      <c r="A2" s="6" t="s">
        <v>14</v>
      </c>
      <c r="B2" s="6"/>
      <c r="C2" s="6"/>
      <c r="D2" s="6"/>
      <c r="E2" s="6"/>
      <c r="F2" s="6"/>
    </row>
    <row r="3" spans="1:8" ht="15" customHeight="1" x14ac:dyDescent="0.3">
      <c r="A3" s="6"/>
      <c r="B3" s="6"/>
      <c r="C3" s="6"/>
      <c r="D3" s="6"/>
      <c r="E3" s="6"/>
      <c r="F3" s="6"/>
    </row>
    <row r="4" spans="1:8" ht="15" customHeight="1" x14ac:dyDescent="0.3">
      <c r="A4" s="7" t="s">
        <v>15</v>
      </c>
      <c r="B4" s="89" t="s">
        <v>60</v>
      </c>
      <c r="C4" s="6"/>
      <c r="D4" s="6"/>
      <c r="E4" s="6"/>
      <c r="F4" s="6"/>
    </row>
    <row r="5" spans="1:8" x14ac:dyDescent="0.3">
      <c r="A5" s="6"/>
      <c r="B5" s="6"/>
      <c r="C5" s="6"/>
      <c r="D5" s="6"/>
      <c r="E5" s="6"/>
      <c r="F5" s="6"/>
    </row>
    <row r="6" spans="1:8" x14ac:dyDescent="0.3">
      <c r="A6" s="8" t="s">
        <v>16</v>
      </c>
      <c r="B6" s="9" t="s">
        <v>17</v>
      </c>
      <c r="C6" s="6"/>
      <c r="D6" s="6"/>
      <c r="E6" s="6"/>
      <c r="F6" s="6"/>
    </row>
    <row r="7" spans="1:8" x14ac:dyDescent="0.3">
      <c r="A7" s="8"/>
      <c r="B7" s="9" t="s">
        <v>18</v>
      </c>
      <c r="C7" s="6"/>
      <c r="D7" s="6"/>
      <c r="E7" s="6"/>
      <c r="F7" s="6"/>
    </row>
    <row r="8" spans="1:8" x14ac:dyDescent="0.3">
      <c r="B8" s="6"/>
      <c r="C8" s="6"/>
      <c r="D8" s="6"/>
      <c r="E8" s="6"/>
      <c r="F8" s="6"/>
    </row>
    <row r="9" spans="1:8" s="15" customFormat="1" ht="57.6" x14ac:dyDescent="0.3">
      <c r="A9" s="10" t="s">
        <v>19</v>
      </c>
      <c r="B9" s="11" t="s">
        <v>20</v>
      </c>
      <c r="C9" s="12" t="s">
        <v>21</v>
      </c>
      <c r="D9" s="13" t="s">
        <v>22</v>
      </c>
      <c r="E9" s="14" t="s">
        <v>23</v>
      </c>
      <c r="F9" s="14" t="s">
        <v>24</v>
      </c>
    </row>
    <row r="10" spans="1:8" x14ac:dyDescent="0.3">
      <c r="A10" s="2" t="s">
        <v>9</v>
      </c>
      <c r="B10" s="16" t="s">
        <v>41</v>
      </c>
      <c r="C10" s="17">
        <v>45566</v>
      </c>
      <c r="D10">
        <v>8</v>
      </c>
      <c r="E10" s="16">
        <v>2</v>
      </c>
      <c r="F10" s="18">
        <f>(92812.39/0.8)/3</f>
        <v>38671.829166666663</v>
      </c>
      <c r="G10" t="s">
        <v>86</v>
      </c>
      <c r="H10" s="87"/>
    </row>
    <row r="11" spans="1:8" x14ac:dyDescent="0.3">
      <c r="A11" s="92" t="s">
        <v>10</v>
      </c>
      <c r="B11" s="21" t="s">
        <v>25</v>
      </c>
      <c r="C11" s="74">
        <v>45566</v>
      </c>
      <c r="D11" s="22">
        <v>8</v>
      </c>
      <c r="E11" s="21">
        <v>0.1</v>
      </c>
      <c r="F11" s="23">
        <f>13262.99/3</f>
        <v>4420.9966666666669</v>
      </c>
      <c r="G11" t="s">
        <v>87</v>
      </c>
    </row>
    <row r="12" spans="1:8" x14ac:dyDescent="0.3">
      <c r="A12" s="2"/>
      <c r="B12" s="16"/>
      <c r="C12" s="16"/>
      <c r="E12" s="16"/>
      <c r="F12" s="18"/>
    </row>
    <row r="13" spans="1:8" x14ac:dyDescent="0.3">
      <c r="A13" s="19"/>
      <c r="B13" s="20"/>
      <c r="C13" s="21"/>
      <c r="D13" s="22"/>
      <c r="E13" s="21"/>
      <c r="F13" s="23"/>
    </row>
    <row r="14" spans="1:8" ht="16.2" thickBot="1" x14ac:dyDescent="0.35">
      <c r="A14" s="24"/>
      <c r="B14" s="25"/>
      <c r="C14" s="16"/>
      <c r="E14" s="16"/>
      <c r="F14" s="18"/>
    </row>
    <row r="15" spans="1:8" s="15" customFormat="1" ht="15" thickBot="1" x14ac:dyDescent="0.35">
      <c r="A15" s="26" t="s">
        <v>26</v>
      </c>
      <c r="F15" s="27">
        <f>SUM(F10:F14)</f>
        <v>43092.825833333329</v>
      </c>
    </row>
    <row r="18" spans="1:6" x14ac:dyDescent="0.3">
      <c r="A18" s="28" t="s">
        <v>27</v>
      </c>
    </row>
    <row r="19" spans="1:6" ht="28.8" x14ac:dyDescent="0.3">
      <c r="A19" s="28"/>
      <c r="C19" s="29" t="s">
        <v>28</v>
      </c>
    </row>
    <row r="20" spans="1:6" x14ac:dyDescent="0.3">
      <c r="A20" s="30" t="s">
        <v>29</v>
      </c>
      <c r="B20" s="31"/>
      <c r="C20" s="32"/>
    </row>
    <row r="21" spans="1:6" x14ac:dyDescent="0.3">
      <c r="A21" s="33" t="s">
        <v>30</v>
      </c>
      <c r="B21" s="34"/>
      <c r="C21" s="35">
        <f>20000/3</f>
        <v>6666.666666666667</v>
      </c>
    </row>
    <row r="22" spans="1:6" x14ac:dyDescent="0.3">
      <c r="A22" s="36" t="s">
        <v>31</v>
      </c>
      <c r="B22" s="37"/>
      <c r="C22" s="38"/>
    </row>
    <row r="23" spans="1:6" x14ac:dyDescent="0.3">
      <c r="A23" s="33" t="s">
        <v>32</v>
      </c>
      <c r="B23" s="34"/>
      <c r="C23" s="35"/>
    </row>
    <row r="24" spans="1:6" x14ac:dyDescent="0.3">
      <c r="A24" s="39" t="s">
        <v>33</v>
      </c>
      <c r="B24" s="40"/>
      <c r="C24" s="41">
        <f>15625/3</f>
        <v>5208.333333333333</v>
      </c>
    </row>
    <row r="25" spans="1:6" x14ac:dyDescent="0.3">
      <c r="A25" s="4" t="s">
        <v>34</v>
      </c>
      <c r="B25" s="42"/>
      <c r="C25" s="43"/>
    </row>
    <row r="26" spans="1:6" x14ac:dyDescent="0.3">
      <c r="A26" s="44" t="s">
        <v>35</v>
      </c>
      <c r="B26" s="45"/>
      <c r="C26" s="46"/>
    </row>
    <row r="27" spans="1:6" x14ac:dyDescent="0.3">
      <c r="A27" s="4" t="s">
        <v>11</v>
      </c>
      <c r="B27" s="42"/>
      <c r="C27" s="43"/>
      <c r="D27" s="47"/>
      <c r="E27" s="47"/>
      <c r="F27" s="47"/>
    </row>
    <row r="28" spans="1:6" x14ac:dyDescent="0.3">
      <c r="A28" s="36" t="s">
        <v>36</v>
      </c>
      <c r="B28" s="37"/>
      <c r="C28" s="38"/>
      <c r="D28" s="47"/>
      <c r="E28" s="47"/>
      <c r="F28" s="47"/>
    </row>
    <row r="29" spans="1:6" ht="16.2" thickBot="1" x14ac:dyDescent="0.35">
      <c r="A29" s="48" t="s">
        <v>37</v>
      </c>
      <c r="B29" s="49"/>
      <c r="C29" s="35"/>
      <c r="D29" s="47"/>
      <c r="E29" s="47"/>
      <c r="F29" s="47"/>
    </row>
    <row r="30" spans="1:6" ht="16.2" thickBot="1" x14ac:dyDescent="0.35">
      <c r="A30" s="15" t="s">
        <v>38</v>
      </c>
      <c r="C30" s="27">
        <f>SUM(C20:C29)</f>
        <v>11875</v>
      </c>
      <c r="E30" s="15" t="s">
        <v>39</v>
      </c>
      <c r="F30" s="50">
        <f>SUM(F15+C30)</f>
        <v>54967.825833333329</v>
      </c>
    </row>
    <row r="33" spans="1:1" x14ac:dyDescent="0.3">
      <c r="A33" s="28" t="s">
        <v>40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7F655-11BF-4F5B-8979-0B7EBA359A2C}">
  <dimension ref="A1:H33"/>
  <sheetViews>
    <sheetView topLeftCell="A13" workbookViewId="0">
      <selection activeCell="F31" sqref="F31"/>
    </sheetView>
  </sheetViews>
  <sheetFormatPr defaultColWidth="8.796875" defaultRowHeight="15.6" x14ac:dyDescent="0.3"/>
  <cols>
    <col min="1" max="1" width="19" customWidth="1"/>
    <col min="2" max="2" width="27.5" customWidth="1"/>
    <col min="3" max="3" width="12.796875" customWidth="1"/>
    <col min="4" max="4" width="9.296875" customWidth="1"/>
    <col min="5" max="5" width="10.19921875" customWidth="1"/>
    <col min="6" max="6" width="11.69921875" customWidth="1"/>
  </cols>
  <sheetData>
    <row r="1" spans="1:8" ht="18" x14ac:dyDescent="0.35">
      <c r="A1" s="5" t="s">
        <v>13</v>
      </c>
      <c r="B1" s="6"/>
      <c r="C1" s="6"/>
      <c r="D1" s="6"/>
      <c r="E1" s="6"/>
      <c r="F1" s="6"/>
    </row>
    <row r="2" spans="1:8" ht="15" customHeight="1" x14ac:dyDescent="0.3">
      <c r="A2" s="6" t="s">
        <v>14</v>
      </c>
      <c r="B2" s="6"/>
      <c r="C2" s="6"/>
      <c r="D2" s="6"/>
      <c r="E2" s="6"/>
      <c r="F2" s="6"/>
    </row>
    <row r="3" spans="1:8" ht="15" customHeight="1" x14ac:dyDescent="0.3">
      <c r="A3" s="6"/>
      <c r="B3" s="6"/>
      <c r="C3" s="6"/>
      <c r="D3" s="6"/>
      <c r="E3" s="6"/>
      <c r="F3" s="6"/>
    </row>
    <row r="4" spans="1:8" ht="15" customHeight="1" x14ac:dyDescent="0.3">
      <c r="A4" s="7" t="s">
        <v>15</v>
      </c>
      <c r="B4" s="6" t="s">
        <v>58</v>
      </c>
      <c r="C4" s="6"/>
      <c r="D4" s="6"/>
      <c r="E4" s="6"/>
      <c r="F4" s="6"/>
    </row>
    <row r="5" spans="1:8" x14ac:dyDescent="0.3">
      <c r="A5" s="6"/>
      <c r="B5" s="6"/>
      <c r="C5" s="6"/>
      <c r="D5" s="6"/>
      <c r="E5" s="6"/>
      <c r="F5" s="6"/>
    </row>
    <row r="6" spans="1:8" x14ac:dyDescent="0.3">
      <c r="A6" s="8" t="s">
        <v>16</v>
      </c>
      <c r="B6" s="9" t="s">
        <v>17</v>
      </c>
      <c r="C6" s="6"/>
      <c r="D6" s="6"/>
      <c r="E6" s="6"/>
      <c r="F6" s="6"/>
    </row>
    <row r="7" spans="1:8" x14ac:dyDescent="0.3">
      <c r="A7" s="8"/>
      <c r="B7" s="9" t="s">
        <v>18</v>
      </c>
      <c r="C7" s="6"/>
      <c r="D7" s="6"/>
      <c r="E7" s="6"/>
      <c r="F7" s="6"/>
    </row>
    <row r="8" spans="1:8" x14ac:dyDescent="0.3">
      <c r="B8" s="6"/>
      <c r="C8" s="6"/>
      <c r="D8" s="6"/>
      <c r="E8" s="6"/>
      <c r="F8" s="6"/>
    </row>
    <row r="9" spans="1:8" s="15" customFormat="1" ht="57.6" x14ac:dyDescent="0.3">
      <c r="A9" s="10" t="s">
        <v>19</v>
      </c>
      <c r="B9" s="11" t="s">
        <v>20</v>
      </c>
      <c r="C9" s="12" t="s">
        <v>21</v>
      </c>
      <c r="D9" s="13" t="s">
        <v>22</v>
      </c>
      <c r="E9" s="14" t="s">
        <v>23</v>
      </c>
      <c r="F9" s="14" t="s">
        <v>24</v>
      </c>
      <c r="H9" s="88"/>
    </row>
    <row r="10" spans="1:8" x14ac:dyDescent="0.3">
      <c r="A10" s="2" t="s">
        <v>10</v>
      </c>
      <c r="B10" s="16" t="s">
        <v>25</v>
      </c>
      <c r="C10" s="17">
        <v>45566</v>
      </c>
      <c r="D10">
        <v>8</v>
      </c>
      <c r="E10" s="16">
        <v>0.6</v>
      </c>
      <c r="F10" s="18">
        <f>11897/3</f>
        <v>3965.6666666666665</v>
      </c>
      <c r="G10" t="s">
        <v>69</v>
      </c>
      <c r="H10" s="87"/>
    </row>
    <row r="11" spans="1:8" x14ac:dyDescent="0.3">
      <c r="A11" s="19"/>
      <c r="B11" s="20"/>
      <c r="C11" s="21"/>
      <c r="D11" s="22"/>
      <c r="E11" s="21"/>
      <c r="F11" s="23"/>
    </row>
    <row r="12" spans="1:8" x14ac:dyDescent="0.3">
      <c r="A12" s="24"/>
      <c r="B12" s="25"/>
      <c r="C12" s="16"/>
      <c r="E12" s="16"/>
      <c r="F12" s="18"/>
    </row>
    <row r="13" spans="1:8" x14ac:dyDescent="0.3">
      <c r="A13" s="19"/>
      <c r="B13" s="20"/>
      <c r="C13" s="21"/>
      <c r="D13" s="22"/>
      <c r="E13" s="21"/>
      <c r="F13" s="23"/>
    </row>
    <row r="14" spans="1:8" ht="16.2" thickBot="1" x14ac:dyDescent="0.35">
      <c r="A14" s="24"/>
      <c r="B14" s="25"/>
      <c r="C14" s="16"/>
      <c r="E14" s="16"/>
      <c r="F14" s="18"/>
    </row>
    <row r="15" spans="1:8" s="15" customFormat="1" ht="15" thickBot="1" x14ac:dyDescent="0.35">
      <c r="A15" s="26" t="s">
        <v>26</v>
      </c>
      <c r="F15" s="27">
        <f>SUM(F10:F14)</f>
        <v>3965.6666666666665</v>
      </c>
    </row>
    <row r="18" spans="1:6" x14ac:dyDescent="0.3">
      <c r="A18" s="28" t="s">
        <v>27</v>
      </c>
    </row>
    <row r="19" spans="1:6" ht="28.8" x14ac:dyDescent="0.3">
      <c r="A19" s="28"/>
      <c r="C19" s="29" t="s">
        <v>28</v>
      </c>
    </row>
    <row r="20" spans="1:6" x14ac:dyDescent="0.3">
      <c r="A20" s="30" t="s">
        <v>29</v>
      </c>
      <c r="B20" s="31"/>
      <c r="C20" s="32"/>
    </row>
    <row r="21" spans="1:6" x14ac:dyDescent="0.3">
      <c r="A21" s="33" t="s">
        <v>30</v>
      </c>
      <c r="B21" s="34"/>
      <c r="C21" s="35">
        <f>6000/3</f>
        <v>2000</v>
      </c>
    </row>
    <row r="22" spans="1:6" x14ac:dyDescent="0.3">
      <c r="A22" s="36" t="s">
        <v>31</v>
      </c>
      <c r="B22" s="37"/>
      <c r="C22" s="38">
        <v>0</v>
      </c>
    </row>
    <row r="23" spans="1:6" x14ac:dyDescent="0.3">
      <c r="A23" s="33" t="s">
        <v>32</v>
      </c>
      <c r="B23" s="34"/>
      <c r="C23" s="35"/>
    </row>
    <row r="24" spans="1:6" x14ac:dyDescent="0.3">
      <c r="A24" s="39" t="s">
        <v>33</v>
      </c>
      <c r="B24" s="40"/>
      <c r="C24" s="41">
        <f>4491/3</f>
        <v>1497</v>
      </c>
    </row>
    <row r="25" spans="1:6" x14ac:dyDescent="0.3">
      <c r="A25" s="4" t="s">
        <v>34</v>
      </c>
      <c r="B25" s="42"/>
      <c r="C25" s="43">
        <f>8788/3</f>
        <v>2929.3333333333335</v>
      </c>
    </row>
    <row r="26" spans="1:6" x14ac:dyDescent="0.3">
      <c r="A26" s="44" t="s">
        <v>35</v>
      </c>
      <c r="B26" s="45"/>
      <c r="C26" s="46"/>
    </row>
    <row r="27" spans="1:6" x14ac:dyDescent="0.3">
      <c r="A27" s="4" t="s">
        <v>11</v>
      </c>
      <c r="B27" s="42"/>
      <c r="C27" s="43">
        <f>197/3</f>
        <v>65.666666666666671</v>
      </c>
      <c r="D27" s="47"/>
      <c r="E27" s="47"/>
      <c r="F27" s="47"/>
    </row>
    <row r="28" spans="1:6" x14ac:dyDescent="0.3">
      <c r="A28" s="36" t="s">
        <v>36</v>
      </c>
      <c r="B28" s="37"/>
      <c r="C28" s="38"/>
      <c r="D28" s="47"/>
      <c r="E28" s="47"/>
      <c r="F28" s="47"/>
    </row>
    <row r="29" spans="1:6" ht="16.2" thickBot="1" x14ac:dyDescent="0.35">
      <c r="A29" s="48" t="s">
        <v>37</v>
      </c>
      <c r="B29" s="49"/>
      <c r="C29" s="35"/>
      <c r="D29" s="47"/>
      <c r="E29" s="47"/>
      <c r="F29" s="47"/>
    </row>
    <row r="30" spans="1:6" ht="16.2" thickBot="1" x14ac:dyDescent="0.35">
      <c r="A30" s="15" t="s">
        <v>38</v>
      </c>
      <c r="C30" s="27">
        <f>SUM(C20:C29)</f>
        <v>6492.0000000000009</v>
      </c>
      <c r="E30" s="15" t="s">
        <v>39</v>
      </c>
      <c r="F30" s="50">
        <f>SUM(F15+C30)</f>
        <v>10457.666666666668</v>
      </c>
    </row>
    <row r="33" spans="1:1" x14ac:dyDescent="0.3">
      <c r="A33" s="28" t="s">
        <v>40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87B6E-F033-4004-BAA3-142B5174B4BB}">
  <dimension ref="A1:H33"/>
  <sheetViews>
    <sheetView topLeftCell="A10" workbookViewId="0">
      <selection activeCell="F31" sqref="F31"/>
    </sheetView>
  </sheetViews>
  <sheetFormatPr defaultColWidth="8.796875" defaultRowHeight="15.6" x14ac:dyDescent="0.3"/>
  <cols>
    <col min="1" max="1" width="19" customWidth="1"/>
    <col min="2" max="2" width="27.5" customWidth="1"/>
    <col min="3" max="3" width="12.796875" customWidth="1"/>
    <col min="4" max="4" width="9.296875" customWidth="1"/>
    <col min="5" max="5" width="10.19921875" customWidth="1"/>
    <col min="6" max="6" width="11.69921875" customWidth="1"/>
  </cols>
  <sheetData>
    <row r="1" spans="1:8" ht="18" x14ac:dyDescent="0.35">
      <c r="A1" s="5" t="s">
        <v>13</v>
      </c>
      <c r="B1" s="6"/>
      <c r="C1" s="6"/>
      <c r="D1" s="6"/>
      <c r="E1" s="6"/>
      <c r="F1" s="6"/>
    </row>
    <row r="2" spans="1:8" ht="15" customHeight="1" x14ac:dyDescent="0.3">
      <c r="A2" s="6" t="s">
        <v>14</v>
      </c>
      <c r="B2" s="6"/>
      <c r="C2" s="6"/>
      <c r="D2" s="6"/>
      <c r="E2" s="6"/>
      <c r="F2" s="6"/>
    </row>
    <row r="3" spans="1:8" ht="15" customHeight="1" x14ac:dyDescent="0.3">
      <c r="A3" s="6"/>
      <c r="B3" s="6"/>
      <c r="C3" s="6"/>
      <c r="D3" s="6"/>
      <c r="E3" s="6"/>
      <c r="F3" s="6"/>
    </row>
    <row r="4" spans="1:8" ht="15" customHeight="1" x14ac:dyDescent="0.3">
      <c r="A4" s="7" t="s">
        <v>15</v>
      </c>
      <c r="B4" s="6" t="s">
        <v>59</v>
      </c>
      <c r="C4" s="6"/>
      <c r="D4" s="6"/>
      <c r="E4" s="6"/>
      <c r="F4" s="6"/>
    </row>
    <row r="5" spans="1:8" x14ac:dyDescent="0.3">
      <c r="A5" s="6"/>
      <c r="B5" s="6"/>
      <c r="C5" s="6"/>
      <c r="D5" s="6"/>
      <c r="E5" s="6"/>
      <c r="F5" s="6"/>
    </row>
    <row r="6" spans="1:8" x14ac:dyDescent="0.3">
      <c r="A6" s="8" t="s">
        <v>16</v>
      </c>
      <c r="B6" s="9" t="s">
        <v>17</v>
      </c>
      <c r="C6" s="6"/>
      <c r="D6" s="6"/>
      <c r="E6" s="6"/>
      <c r="F6" s="6"/>
    </row>
    <row r="7" spans="1:8" x14ac:dyDescent="0.3">
      <c r="A7" s="8"/>
      <c r="B7" s="9" t="s">
        <v>18</v>
      </c>
      <c r="C7" s="6"/>
      <c r="D7" s="6"/>
      <c r="E7" s="6"/>
      <c r="F7" s="6"/>
    </row>
    <row r="8" spans="1:8" x14ac:dyDescent="0.3">
      <c r="B8" s="6"/>
      <c r="C8" s="6"/>
      <c r="D8" s="6"/>
      <c r="E8" s="6"/>
      <c r="F8" s="6"/>
    </row>
    <row r="9" spans="1:8" s="15" customFormat="1" ht="57.6" x14ac:dyDescent="0.3">
      <c r="A9" s="10" t="s">
        <v>19</v>
      </c>
      <c r="B9" s="11" t="s">
        <v>20</v>
      </c>
      <c r="C9" s="12" t="s">
        <v>21</v>
      </c>
      <c r="D9" s="13" t="s">
        <v>22</v>
      </c>
      <c r="E9" s="14" t="s">
        <v>23</v>
      </c>
      <c r="F9" s="14" t="s">
        <v>24</v>
      </c>
    </row>
    <row r="10" spans="1:8" x14ac:dyDescent="0.3">
      <c r="A10" s="2" t="s">
        <v>10</v>
      </c>
      <c r="B10" s="16" t="s">
        <v>25</v>
      </c>
      <c r="C10" s="17">
        <v>45566</v>
      </c>
      <c r="D10">
        <v>8</v>
      </c>
      <c r="E10" s="16">
        <v>0.1</v>
      </c>
      <c r="F10" s="18">
        <f>4059/3</f>
        <v>1353</v>
      </c>
      <c r="G10" t="s">
        <v>70</v>
      </c>
      <c r="H10" s="90"/>
    </row>
    <row r="11" spans="1:8" x14ac:dyDescent="0.3">
      <c r="A11" s="19"/>
      <c r="B11" s="20"/>
      <c r="C11" s="21"/>
      <c r="D11" s="22"/>
      <c r="E11" s="21"/>
      <c r="F11" s="23"/>
    </row>
    <row r="12" spans="1:8" x14ac:dyDescent="0.3">
      <c r="A12" s="24"/>
      <c r="B12" s="25"/>
      <c r="C12" s="16"/>
      <c r="E12" s="16"/>
      <c r="F12" s="18"/>
    </row>
    <row r="13" spans="1:8" x14ac:dyDescent="0.3">
      <c r="A13" s="19"/>
      <c r="B13" s="20"/>
      <c r="C13" s="21"/>
      <c r="D13" s="22"/>
      <c r="E13" s="21"/>
      <c r="F13" s="23"/>
    </row>
    <row r="14" spans="1:8" ht="16.2" thickBot="1" x14ac:dyDescent="0.35">
      <c r="A14" s="24"/>
      <c r="B14" s="25"/>
      <c r="C14" s="16"/>
      <c r="E14" s="16"/>
      <c r="F14" s="18"/>
    </row>
    <row r="15" spans="1:8" s="15" customFormat="1" ht="15" thickBot="1" x14ac:dyDescent="0.35">
      <c r="A15" s="26" t="s">
        <v>26</v>
      </c>
      <c r="F15" s="27">
        <f>SUM(F10:F14)</f>
        <v>1353</v>
      </c>
    </row>
    <row r="18" spans="1:6" x14ac:dyDescent="0.3">
      <c r="A18" s="28" t="s">
        <v>27</v>
      </c>
    </row>
    <row r="19" spans="1:6" ht="28.8" x14ac:dyDescent="0.3">
      <c r="A19" s="28"/>
      <c r="C19" s="29" t="s">
        <v>28</v>
      </c>
    </row>
    <row r="20" spans="1:6" x14ac:dyDescent="0.3">
      <c r="A20" s="30" t="s">
        <v>29</v>
      </c>
      <c r="B20" s="31"/>
      <c r="C20" s="32"/>
    </row>
    <row r="21" spans="1:6" x14ac:dyDescent="0.3">
      <c r="A21" s="33" t="s">
        <v>30</v>
      </c>
      <c r="B21" s="34"/>
      <c r="C21" s="35">
        <v>0</v>
      </c>
    </row>
    <row r="22" spans="1:6" x14ac:dyDescent="0.3">
      <c r="A22" s="36" t="s">
        <v>31</v>
      </c>
      <c r="B22" s="37"/>
      <c r="C22" s="38"/>
    </row>
    <row r="23" spans="1:6" x14ac:dyDescent="0.3">
      <c r="A23" s="33" t="s">
        <v>32</v>
      </c>
      <c r="B23" s="34"/>
      <c r="C23" s="35"/>
    </row>
    <row r="24" spans="1:6" x14ac:dyDescent="0.3">
      <c r="A24" s="39" t="s">
        <v>33</v>
      </c>
      <c r="B24" s="40"/>
      <c r="C24" s="41">
        <f>660/3</f>
        <v>220</v>
      </c>
    </row>
    <row r="25" spans="1:6" x14ac:dyDescent="0.3">
      <c r="A25" s="4" t="s">
        <v>34</v>
      </c>
      <c r="B25" s="42"/>
      <c r="C25" s="43">
        <f>1847/3</f>
        <v>615.66666666666663</v>
      </c>
    </row>
    <row r="26" spans="1:6" x14ac:dyDescent="0.3">
      <c r="A26" s="44" t="s">
        <v>35</v>
      </c>
      <c r="B26" s="45"/>
      <c r="C26" s="46"/>
    </row>
    <row r="27" spans="1:6" x14ac:dyDescent="0.3">
      <c r="A27" s="4" t="s">
        <v>11</v>
      </c>
      <c r="B27" s="42"/>
      <c r="C27" s="43"/>
      <c r="D27" s="47"/>
      <c r="E27" s="47"/>
      <c r="F27" s="47"/>
    </row>
    <row r="28" spans="1:6" x14ac:dyDescent="0.3">
      <c r="A28" s="36" t="s">
        <v>36</v>
      </c>
      <c r="B28" s="37"/>
      <c r="C28" s="38"/>
      <c r="D28" s="47"/>
      <c r="E28" s="47"/>
      <c r="F28" s="47"/>
    </row>
    <row r="29" spans="1:6" ht="16.2" thickBot="1" x14ac:dyDescent="0.35">
      <c r="A29" s="48" t="s">
        <v>37</v>
      </c>
      <c r="B29" s="49"/>
      <c r="C29" s="35"/>
      <c r="D29" s="47"/>
      <c r="E29" s="47"/>
      <c r="F29" s="47"/>
    </row>
    <row r="30" spans="1:6" ht="16.2" thickBot="1" x14ac:dyDescent="0.35">
      <c r="A30" s="15" t="s">
        <v>38</v>
      </c>
      <c r="C30" s="27">
        <f>SUM(C20:C29)</f>
        <v>835.66666666666663</v>
      </c>
      <c r="E30" s="15" t="s">
        <v>39</v>
      </c>
      <c r="F30" s="50">
        <f>SUM(F15+C30)</f>
        <v>2188.6666666666665</v>
      </c>
    </row>
    <row r="33" spans="1:1" x14ac:dyDescent="0.3">
      <c r="A33" s="28" t="s">
        <v>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A3DD9A-FF9D-48AB-887E-4FC03BF76C8D}">
  <dimension ref="A1:G32"/>
  <sheetViews>
    <sheetView topLeftCell="A14" workbookViewId="0">
      <selection activeCell="F30" sqref="F30"/>
    </sheetView>
  </sheetViews>
  <sheetFormatPr defaultColWidth="8.796875" defaultRowHeight="15.6" x14ac:dyDescent="0.3"/>
  <cols>
    <col min="1" max="1" width="19" customWidth="1"/>
    <col min="2" max="2" width="27.5" customWidth="1"/>
    <col min="3" max="3" width="12.796875" customWidth="1"/>
    <col min="4" max="4" width="9.296875" customWidth="1"/>
    <col min="5" max="5" width="10.19921875" customWidth="1"/>
    <col min="6" max="6" width="11.69921875" customWidth="1"/>
  </cols>
  <sheetData>
    <row r="1" spans="1:7" ht="18" x14ac:dyDescent="0.35">
      <c r="A1" s="5" t="s">
        <v>13</v>
      </c>
      <c r="B1" s="6"/>
      <c r="C1" s="6"/>
      <c r="D1" s="6"/>
      <c r="E1" s="6"/>
      <c r="F1" s="6"/>
    </row>
    <row r="2" spans="1:7" ht="15" customHeight="1" x14ac:dyDescent="0.3">
      <c r="A2" s="6" t="s">
        <v>14</v>
      </c>
      <c r="B2" s="6"/>
      <c r="C2" s="6"/>
      <c r="D2" s="6"/>
      <c r="E2" s="6"/>
      <c r="F2" s="6"/>
    </row>
    <row r="3" spans="1:7" ht="15" customHeight="1" x14ac:dyDescent="0.3">
      <c r="A3" s="6"/>
      <c r="B3" s="6"/>
      <c r="C3" s="6"/>
      <c r="D3" s="6"/>
      <c r="E3" s="6"/>
      <c r="F3" s="6"/>
    </row>
    <row r="4" spans="1:7" ht="15" customHeight="1" x14ac:dyDescent="0.3">
      <c r="A4" s="7" t="s">
        <v>15</v>
      </c>
      <c r="B4" s="6" t="s">
        <v>57</v>
      </c>
      <c r="C4" s="6"/>
      <c r="D4" s="6"/>
      <c r="E4" s="6"/>
      <c r="F4" s="6"/>
    </row>
    <row r="5" spans="1:7" x14ac:dyDescent="0.3">
      <c r="A5" s="6"/>
      <c r="B5" s="6"/>
      <c r="C5" s="6"/>
      <c r="D5" s="6"/>
      <c r="E5" s="6"/>
      <c r="F5" s="6"/>
    </row>
    <row r="6" spans="1:7" x14ac:dyDescent="0.3">
      <c r="A6" s="8" t="s">
        <v>16</v>
      </c>
      <c r="B6" s="9" t="s">
        <v>17</v>
      </c>
      <c r="C6" s="6"/>
      <c r="D6" s="6"/>
      <c r="E6" s="6"/>
      <c r="F6" s="6"/>
    </row>
    <row r="7" spans="1:7" x14ac:dyDescent="0.3">
      <c r="A7" s="8"/>
      <c r="B7" s="9" t="s">
        <v>18</v>
      </c>
      <c r="C7" s="6"/>
      <c r="D7" s="6"/>
      <c r="E7" s="6"/>
      <c r="F7" s="6"/>
    </row>
    <row r="8" spans="1:7" x14ac:dyDescent="0.3">
      <c r="B8" s="6"/>
      <c r="C8" s="6"/>
      <c r="D8" s="6"/>
      <c r="E8" s="6"/>
      <c r="F8" s="6"/>
    </row>
    <row r="9" spans="1:7" s="15" customFormat="1" ht="57.6" x14ac:dyDescent="0.3">
      <c r="A9" s="10" t="s">
        <v>19</v>
      </c>
      <c r="B9" s="11" t="s">
        <v>20</v>
      </c>
      <c r="C9" s="12" t="s">
        <v>21</v>
      </c>
      <c r="D9" s="13" t="s">
        <v>22</v>
      </c>
      <c r="E9" s="14" t="s">
        <v>23</v>
      </c>
      <c r="F9" s="14" t="s">
        <v>24</v>
      </c>
    </row>
    <row r="10" spans="1:7" s="56" customFormat="1" x14ac:dyDescent="0.3">
      <c r="A10" s="51" t="s">
        <v>9</v>
      </c>
      <c r="B10" s="52" t="s">
        <v>41</v>
      </c>
      <c r="C10" s="79">
        <v>45566</v>
      </c>
      <c r="D10" s="54">
        <v>8</v>
      </c>
      <c r="E10" s="53">
        <v>1</v>
      </c>
      <c r="F10" s="55">
        <f>79247/3</f>
        <v>26415.666666666668</v>
      </c>
      <c r="G10" t="s">
        <v>71</v>
      </c>
    </row>
    <row r="11" spans="1:7" s="56" customFormat="1" x14ac:dyDescent="0.3">
      <c r="A11" s="75" t="s">
        <v>9</v>
      </c>
      <c r="B11" s="76" t="s">
        <v>41</v>
      </c>
      <c r="C11" s="17">
        <v>45566</v>
      </c>
      <c r="D11" s="56">
        <v>8</v>
      </c>
      <c r="E11" s="77">
        <v>0.64</v>
      </c>
      <c r="F11" s="78">
        <f>46987/3</f>
        <v>15662.333333333334</v>
      </c>
      <c r="G11" t="s">
        <v>72</v>
      </c>
    </row>
    <row r="12" spans="1:7" x14ac:dyDescent="0.3">
      <c r="A12" s="19"/>
      <c r="B12" s="20"/>
      <c r="C12" s="21"/>
      <c r="D12" s="22"/>
      <c r="E12" s="21"/>
      <c r="F12" s="23"/>
    </row>
    <row r="13" spans="1:7" ht="16.2" thickBot="1" x14ac:dyDescent="0.35">
      <c r="A13" s="24"/>
      <c r="B13" s="25"/>
      <c r="C13" s="16"/>
      <c r="E13" s="16"/>
      <c r="F13" s="18"/>
    </row>
    <row r="14" spans="1:7" s="15" customFormat="1" ht="15" thickBot="1" x14ac:dyDescent="0.35">
      <c r="A14" s="26" t="s">
        <v>26</v>
      </c>
      <c r="F14" s="27">
        <f>SUM(F10:F13)</f>
        <v>42078</v>
      </c>
    </row>
    <row r="17" spans="1:6" x14ac:dyDescent="0.3">
      <c r="A17" s="28" t="s">
        <v>27</v>
      </c>
    </row>
    <row r="18" spans="1:6" ht="28.8" x14ac:dyDescent="0.3">
      <c r="A18" s="28"/>
      <c r="C18" s="29" t="s">
        <v>28</v>
      </c>
    </row>
    <row r="19" spans="1:6" x14ac:dyDescent="0.3">
      <c r="A19" s="30" t="s">
        <v>29</v>
      </c>
      <c r="B19" s="31"/>
      <c r="C19" s="32"/>
    </row>
    <row r="20" spans="1:6" x14ac:dyDescent="0.3">
      <c r="A20" s="33" t="s">
        <v>30</v>
      </c>
      <c r="B20" s="34"/>
      <c r="C20" s="35">
        <f>120000/3</f>
        <v>40000</v>
      </c>
    </row>
    <row r="21" spans="1:6" x14ac:dyDescent="0.3">
      <c r="A21" s="36" t="s">
        <v>31</v>
      </c>
      <c r="B21" s="37"/>
      <c r="C21" s="38">
        <v>0</v>
      </c>
    </row>
    <row r="22" spans="1:6" x14ac:dyDescent="0.3">
      <c r="A22" s="33" t="s">
        <v>32</v>
      </c>
      <c r="B22" s="34"/>
      <c r="C22" s="35"/>
    </row>
    <row r="23" spans="1:6" x14ac:dyDescent="0.3">
      <c r="A23" s="39" t="s">
        <v>33</v>
      </c>
      <c r="B23" s="40"/>
      <c r="C23" s="41">
        <f>46443/3</f>
        <v>15481</v>
      </c>
    </row>
    <row r="24" spans="1:6" x14ac:dyDescent="0.3">
      <c r="A24" s="4" t="s">
        <v>34</v>
      </c>
      <c r="B24" s="42"/>
      <c r="C24" s="43">
        <f>149790/3</f>
        <v>49930</v>
      </c>
    </row>
    <row r="25" spans="1:6" x14ac:dyDescent="0.3">
      <c r="A25" s="44" t="s">
        <v>35</v>
      </c>
      <c r="B25" s="45"/>
      <c r="C25" s="46"/>
    </row>
    <row r="26" spans="1:6" x14ac:dyDescent="0.3">
      <c r="A26" s="4" t="s">
        <v>11</v>
      </c>
      <c r="B26" s="42"/>
      <c r="C26" s="43">
        <f>3076/3</f>
        <v>1025.3333333333333</v>
      </c>
      <c r="D26" s="47"/>
      <c r="E26" s="47"/>
      <c r="F26" s="47"/>
    </row>
    <row r="27" spans="1:6" x14ac:dyDescent="0.3">
      <c r="A27" s="36" t="s">
        <v>36</v>
      </c>
      <c r="B27" s="37"/>
      <c r="C27" s="38"/>
      <c r="D27" s="47"/>
      <c r="E27" s="47"/>
      <c r="F27" s="47"/>
    </row>
    <row r="28" spans="1:6" ht="16.2" thickBot="1" x14ac:dyDescent="0.35">
      <c r="A28" s="48" t="s">
        <v>37</v>
      </c>
      <c r="B28" s="49"/>
      <c r="C28" s="35"/>
      <c r="D28" s="47"/>
      <c r="E28" s="47"/>
      <c r="F28" s="47"/>
    </row>
    <row r="29" spans="1:6" ht="16.2" thickBot="1" x14ac:dyDescent="0.35">
      <c r="A29" s="15" t="s">
        <v>38</v>
      </c>
      <c r="C29" s="27">
        <f>SUM(C19:C28)</f>
        <v>106436.33333333333</v>
      </c>
      <c r="E29" s="15" t="s">
        <v>39</v>
      </c>
      <c r="F29" s="50">
        <f>SUM(F14+C29)</f>
        <v>148514.33333333331</v>
      </c>
    </row>
    <row r="32" spans="1:6" x14ac:dyDescent="0.3">
      <c r="A32" s="28" t="s">
        <v>40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6602F-D09B-4903-AB0E-B2B209ECBDFE}">
  <dimension ref="A1:G33"/>
  <sheetViews>
    <sheetView topLeftCell="A16" workbookViewId="0">
      <selection activeCell="F31" sqref="F31"/>
    </sheetView>
  </sheetViews>
  <sheetFormatPr defaultColWidth="8.796875" defaultRowHeight="15.6" x14ac:dyDescent="0.3"/>
  <cols>
    <col min="1" max="1" width="19" customWidth="1"/>
    <col min="2" max="2" width="27.5" customWidth="1"/>
    <col min="3" max="3" width="12.796875" customWidth="1"/>
    <col min="4" max="4" width="9.296875" customWidth="1"/>
    <col min="5" max="5" width="10.19921875" customWidth="1"/>
    <col min="6" max="6" width="11.69921875" customWidth="1"/>
  </cols>
  <sheetData>
    <row r="1" spans="1:7" ht="18" x14ac:dyDescent="0.35">
      <c r="A1" s="5" t="s">
        <v>13</v>
      </c>
      <c r="B1" s="6"/>
      <c r="C1" s="6"/>
      <c r="D1" s="6"/>
      <c r="E1" s="6"/>
      <c r="F1" s="6"/>
    </row>
    <row r="2" spans="1:7" ht="15" customHeight="1" x14ac:dyDescent="0.3">
      <c r="A2" s="6" t="s">
        <v>14</v>
      </c>
      <c r="B2" s="6"/>
      <c r="C2" s="6"/>
      <c r="D2" s="6"/>
      <c r="E2" s="6"/>
      <c r="F2" s="6"/>
    </row>
    <row r="3" spans="1:7" ht="15" customHeight="1" x14ac:dyDescent="0.3">
      <c r="A3" s="6"/>
      <c r="B3" s="6"/>
      <c r="C3" s="6"/>
      <c r="D3" s="6"/>
      <c r="E3" s="6"/>
      <c r="F3" s="6"/>
    </row>
    <row r="4" spans="1:7" ht="15" customHeight="1" x14ac:dyDescent="0.3">
      <c r="A4" s="7" t="s">
        <v>15</v>
      </c>
      <c r="B4" s="6" t="s">
        <v>61</v>
      </c>
      <c r="C4" s="6"/>
      <c r="D4" s="6"/>
      <c r="E4" s="6"/>
      <c r="F4" s="6"/>
    </row>
    <row r="5" spans="1:7" x14ac:dyDescent="0.3">
      <c r="A5" s="6"/>
      <c r="B5" s="6"/>
      <c r="C5" s="6"/>
      <c r="D5" s="6"/>
      <c r="E5" s="6"/>
      <c r="F5" s="6"/>
    </row>
    <row r="6" spans="1:7" x14ac:dyDescent="0.3">
      <c r="A6" s="8" t="s">
        <v>16</v>
      </c>
      <c r="B6" s="9" t="s">
        <v>17</v>
      </c>
      <c r="C6" s="6"/>
      <c r="D6" s="6"/>
      <c r="E6" s="6"/>
      <c r="F6" s="6"/>
    </row>
    <row r="7" spans="1:7" x14ac:dyDescent="0.3">
      <c r="A7" s="8"/>
      <c r="B7" s="9" t="s">
        <v>18</v>
      </c>
      <c r="C7" s="6"/>
      <c r="D7" s="6"/>
      <c r="E7" s="6"/>
      <c r="F7" s="6"/>
    </row>
    <row r="8" spans="1:7" x14ac:dyDescent="0.3">
      <c r="B8" s="6"/>
      <c r="C8" s="6"/>
      <c r="D8" s="6"/>
      <c r="E8" s="6"/>
      <c r="F8" s="6"/>
    </row>
    <row r="9" spans="1:7" s="15" customFormat="1" ht="57.6" x14ac:dyDescent="0.3">
      <c r="A9" s="10" t="s">
        <v>19</v>
      </c>
      <c r="B9" s="11" t="s">
        <v>20</v>
      </c>
      <c r="C9" s="12" t="s">
        <v>21</v>
      </c>
      <c r="D9" s="13" t="s">
        <v>22</v>
      </c>
      <c r="E9" s="14" t="s">
        <v>23</v>
      </c>
      <c r="F9" s="14" t="s">
        <v>24</v>
      </c>
    </row>
    <row r="10" spans="1:7" x14ac:dyDescent="0.3">
      <c r="A10" s="2" t="s">
        <v>9</v>
      </c>
      <c r="B10" s="16" t="s">
        <v>41</v>
      </c>
      <c r="C10" s="17">
        <v>45566</v>
      </c>
      <c r="D10">
        <v>8</v>
      </c>
      <c r="E10" s="16">
        <v>1</v>
      </c>
      <c r="F10" s="18">
        <f>48351.72/3</f>
        <v>16117.24</v>
      </c>
      <c r="G10" t="s">
        <v>73</v>
      </c>
    </row>
    <row r="11" spans="1:7" x14ac:dyDescent="0.3">
      <c r="A11" s="19"/>
      <c r="B11" s="20"/>
      <c r="C11" s="21"/>
      <c r="D11" s="22"/>
      <c r="E11" s="21"/>
      <c r="F11" s="23"/>
    </row>
    <row r="12" spans="1:7" x14ac:dyDescent="0.3">
      <c r="A12" s="24"/>
      <c r="B12" s="25"/>
      <c r="C12" s="16"/>
      <c r="E12" s="16"/>
      <c r="F12" s="18"/>
    </row>
    <row r="13" spans="1:7" x14ac:dyDescent="0.3">
      <c r="A13" s="19"/>
      <c r="B13" s="20"/>
      <c r="C13" s="21"/>
      <c r="D13" s="22"/>
      <c r="E13" s="21"/>
      <c r="F13" s="23"/>
    </row>
    <row r="14" spans="1:7" ht="16.2" thickBot="1" x14ac:dyDescent="0.35">
      <c r="A14" s="24"/>
      <c r="B14" s="25"/>
      <c r="C14" s="16"/>
      <c r="E14" s="16"/>
      <c r="F14" s="18"/>
    </row>
    <row r="15" spans="1:7" s="15" customFormat="1" ht="15" thickBot="1" x14ac:dyDescent="0.35">
      <c r="A15" s="26" t="s">
        <v>26</v>
      </c>
      <c r="F15" s="27">
        <f>SUM(F10:F14)</f>
        <v>16117.24</v>
      </c>
    </row>
    <row r="18" spans="1:6" x14ac:dyDescent="0.3">
      <c r="A18" s="28" t="s">
        <v>27</v>
      </c>
    </row>
    <row r="19" spans="1:6" ht="28.8" x14ac:dyDescent="0.3">
      <c r="A19" s="28"/>
      <c r="C19" s="29" t="s">
        <v>28</v>
      </c>
    </row>
    <row r="20" spans="1:6" x14ac:dyDescent="0.3">
      <c r="A20" s="30" t="s">
        <v>29</v>
      </c>
      <c r="B20" s="31"/>
      <c r="C20" s="32"/>
    </row>
    <row r="21" spans="1:6" x14ac:dyDescent="0.3">
      <c r="A21" s="33" t="s">
        <v>30</v>
      </c>
      <c r="B21" s="34"/>
      <c r="C21" s="35"/>
    </row>
    <row r="22" spans="1:6" x14ac:dyDescent="0.3">
      <c r="A22" s="36" t="s">
        <v>31</v>
      </c>
      <c r="B22" s="37"/>
      <c r="C22" s="38"/>
    </row>
    <row r="23" spans="1:6" x14ac:dyDescent="0.3">
      <c r="A23" s="33" t="s">
        <v>32</v>
      </c>
      <c r="B23" s="34"/>
      <c r="C23" s="35"/>
    </row>
    <row r="24" spans="1:6" x14ac:dyDescent="0.3">
      <c r="A24" s="39" t="s">
        <v>33</v>
      </c>
      <c r="B24" s="40"/>
      <c r="C24" s="41">
        <f>21310/3</f>
        <v>7103.333333333333</v>
      </c>
    </row>
    <row r="25" spans="1:6" x14ac:dyDescent="0.3">
      <c r="A25" s="4" t="s">
        <v>34</v>
      </c>
      <c r="B25" s="42"/>
      <c r="C25" s="43">
        <f>67706/3</f>
        <v>22568.666666666668</v>
      </c>
    </row>
    <row r="26" spans="1:6" x14ac:dyDescent="0.3">
      <c r="A26" s="44" t="s">
        <v>35</v>
      </c>
      <c r="B26" s="45"/>
      <c r="C26" s="46"/>
    </row>
    <row r="27" spans="1:6" x14ac:dyDescent="0.3">
      <c r="A27" s="4" t="s">
        <v>11</v>
      </c>
      <c r="B27" s="42"/>
      <c r="C27" s="43">
        <f>1711/3</f>
        <v>570.33333333333337</v>
      </c>
      <c r="D27" s="47"/>
      <c r="E27" s="47"/>
      <c r="F27" s="47"/>
    </row>
    <row r="28" spans="1:6" x14ac:dyDescent="0.3">
      <c r="A28" s="36" t="s">
        <v>36</v>
      </c>
      <c r="B28" s="37"/>
      <c r="C28" s="38"/>
      <c r="D28" s="47"/>
      <c r="E28" s="47"/>
      <c r="F28" s="47"/>
    </row>
    <row r="29" spans="1:6" ht="16.2" thickBot="1" x14ac:dyDescent="0.35">
      <c r="A29" s="48" t="s">
        <v>37</v>
      </c>
      <c r="B29" s="49"/>
      <c r="C29" s="35"/>
      <c r="D29" s="47"/>
      <c r="E29" s="47"/>
      <c r="F29" s="47"/>
    </row>
    <row r="30" spans="1:6" ht="16.2" thickBot="1" x14ac:dyDescent="0.35">
      <c r="A30" s="15" t="s">
        <v>38</v>
      </c>
      <c r="C30" s="27">
        <f>SUM(C20:C29)</f>
        <v>30242.333333333332</v>
      </c>
      <c r="E30" s="15" t="s">
        <v>39</v>
      </c>
      <c r="F30" s="50">
        <f>SUM(F15+C30)</f>
        <v>46359.573333333334</v>
      </c>
    </row>
    <row r="33" spans="1:1" x14ac:dyDescent="0.3">
      <c r="A33" s="28" t="s">
        <v>40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6C26E-BCBF-4D04-8137-D9197A143900}">
  <dimension ref="A1:I33"/>
  <sheetViews>
    <sheetView topLeftCell="A10" workbookViewId="0">
      <selection activeCell="H31" sqref="H31"/>
    </sheetView>
  </sheetViews>
  <sheetFormatPr defaultColWidth="8.796875" defaultRowHeight="15.6" x14ac:dyDescent="0.3"/>
  <cols>
    <col min="1" max="1" width="19" customWidth="1"/>
    <col min="2" max="2" width="27.5" customWidth="1"/>
    <col min="3" max="3" width="12.796875" customWidth="1"/>
    <col min="4" max="4" width="9.296875" customWidth="1"/>
    <col min="5" max="5" width="10.19921875" customWidth="1"/>
    <col min="6" max="6" width="11.69921875" customWidth="1"/>
    <col min="8" max="8" width="10.09765625" bestFit="1" customWidth="1"/>
  </cols>
  <sheetData>
    <row r="1" spans="1:9" ht="18" x14ac:dyDescent="0.35">
      <c r="A1" s="5" t="s">
        <v>13</v>
      </c>
      <c r="B1" s="6"/>
      <c r="C1" s="6"/>
      <c r="D1" s="6"/>
      <c r="E1" s="6"/>
      <c r="F1" s="6"/>
    </row>
    <row r="2" spans="1:9" ht="15" customHeight="1" x14ac:dyDescent="0.3">
      <c r="A2" s="6" t="s">
        <v>14</v>
      </c>
      <c r="B2" s="6"/>
      <c r="C2" s="6"/>
      <c r="D2" s="6"/>
      <c r="E2" s="6"/>
      <c r="F2" s="6"/>
    </row>
    <row r="3" spans="1:9" ht="15" customHeight="1" x14ac:dyDescent="0.3">
      <c r="A3" s="6"/>
      <c r="B3" s="6"/>
      <c r="C3" s="6"/>
      <c r="D3" s="6"/>
      <c r="E3" s="6"/>
      <c r="F3" s="6"/>
    </row>
    <row r="4" spans="1:9" ht="15" customHeight="1" x14ac:dyDescent="0.3">
      <c r="A4" s="7" t="s">
        <v>15</v>
      </c>
      <c r="B4" s="6" t="s">
        <v>62</v>
      </c>
      <c r="C4" s="6"/>
      <c r="D4" s="6"/>
      <c r="E4" s="6"/>
      <c r="F4" s="6"/>
    </row>
    <row r="5" spans="1:9" x14ac:dyDescent="0.3">
      <c r="A5" s="6"/>
      <c r="B5" s="6"/>
      <c r="C5" s="6"/>
      <c r="D5" s="6"/>
      <c r="E5" s="6"/>
      <c r="F5" s="6"/>
    </row>
    <row r="6" spans="1:9" x14ac:dyDescent="0.3">
      <c r="A6" s="8" t="s">
        <v>16</v>
      </c>
      <c r="B6" s="9" t="s">
        <v>17</v>
      </c>
      <c r="C6" s="6"/>
      <c r="D6" s="6"/>
      <c r="E6" s="6"/>
      <c r="F6" s="6"/>
    </row>
    <row r="7" spans="1:9" x14ac:dyDescent="0.3">
      <c r="A7" s="8"/>
      <c r="B7" s="9" t="s">
        <v>18</v>
      </c>
      <c r="C7" s="6"/>
      <c r="D7" s="6"/>
      <c r="E7" s="6"/>
      <c r="F7" s="6"/>
    </row>
    <row r="8" spans="1:9" x14ac:dyDescent="0.3">
      <c r="B8" s="6"/>
      <c r="C8" s="6"/>
      <c r="D8" s="6"/>
      <c r="E8" s="6"/>
      <c r="F8" s="6"/>
    </row>
    <row r="9" spans="1:9" s="15" customFormat="1" ht="57.6" x14ac:dyDescent="0.3">
      <c r="A9" s="10" t="s">
        <v>19</v>
      </c>
      <c r="B9" s="11" t="s">
        <v>20</v>
      </c>
      <c r="C9" s="12" t="s">
        <v>21</v>
      </c>
      <c r="D9" s="13" t="s">
        <v>22</v>
      </c>
      <c r="E9" s="14" t="s">
        <v>23</v>
      </c>
      <c r="F9" s="14" t="s">
        <v>24</v>
      </c>
    </row>
    <row r="10" spans="1:9" x14ac:dyDescent="0.3">
      <c r="A10" s="2" t="s">
        <v>10</v>
      </c>
      <c r="B10" s="16" t="s">
        <v>25</v>
      </c>
      <c r="C10" s="17">
        <v>45566</v>
      </c>
      <c r="D10">
        <v>8</v>
      </c>
      <c r="E10" s="16">
        <v>0.1</v>
      </c>
      <c r="F10" s="18">
        <f>9066.51/3</f>
        <v>3022.17</v>
      </c>
      <c r="G10" t="s">
        <v>74</v>
      </c>
      <c r="I10">
        <f>F10/(+F11)</f>
        <v>0.40554935292886246</v>
      </c>
    </row>
    <row r="11" spans="1:9" s="56" customFormat="1" x14ac:dyDescent="0.3">
      <c r="A11" s="51" t="s">
        <v>42</v>
      </c>
      <c r="B11" s="52" t="s">
        <v>41</v>
      </c>
      <c r="C11" s="17">
        <v>45566</v>
      </c>
      <c r="D11">
        <v>8</v>
      </c>
      <c r="E11" s="53">
        <v>0.42</v>
      </c>
      <c r="F11" s="55">
        <f>22356.12/3</f>
        <v>7452.04</v>
      </c>
      <c r="G11" t="s">
        <v>75</v>
      </c>
      <c r="I11" s="56">
        <f>1-I10</f>
        <v>0.59445064707113748</v>
      </c>
    </row>
    <row r="12" spans="1:9" x14ac:dyDescent="0.3">
      <c r="A12" s="24"/>
      <c r="B12" s="25"/>
      <c r="C12" s="16"/>
      <c r="E12" s="16"/>
      <c r="F12" s="18"/>
    </row>
    <row r="13" spans="1:9" x14ac:dyDescent="0.3">
      <c r="A13" s="19"/>
      <c r="B13" s="20"/>
      <c r="C13" s="21"/>
      <c r="D13" s="22"/>
      <c r="E13" s="21"/>
      <c r="F13" s="23"/>
    </row>
    <row r="14" spans="1:9" ht="16.2" thickBot="1" x14ac:dyDescent="0.35">
      <c r="A14" s="24"/>
      <c r="B14" s="25"/>
      <c r="C14" s="16"/>
      <c r="E14" s="16"/>
      <c r="F14" s="18"/>
    </row>
    <row r="15" spans="1:9" s="15" customFormat="1" ht="15" thickBot="1" x14ac:dyDescent="0.35">
      <c r="A15" s="26" t="s">
        <v>26</v>
      </c>
      <c r="F15" s="27">
        <f>SUM(F10:F14)</f>
        <v>10474.209999999999</v>
      </c>
      <c r="H15" s="50">
        <f>F10</f>
        <v>3022.17</v>
      </c>
    </row>
    <row r="18" spans="1:8" x14ac:dyDescent="0.3">
      <c r="A18" s="28" t="s">
        <v>27</v>
      </c>
    </row>
    <row r="19" spans="1:8" ht="28.8" x14ac:dyDescent="0.3">
      <c r="A19" s="28"/>
      <c r="C19" s="29" t="s">
        <v>28</v>
      </c>
    </row>
    <row r="20" spans="1:8" x14ac:dyDescent="0.3">
      <c r="A20" s="30" t="s">
        <v>29</v>
      </c>
      <c r="B20" s="31"/>
      <c r="C20" s="32"/>
    </row>
    <row r="21" spans="1:8" x14ac:dyDescent="0.3">
      <c r="A21" s="33" t="s">
        <v>30</v>
      </c>
      <c r="B21" s="34"/>
      <c r="C21" s="35"/>
    </row>
    <row r="22" spans="1:8" x14ac:dyDescent="0.3">
      <c r="A22" s="36" t="s">
        <v>31</v>
      </c>
      <c r="B22" s="37"/>
      <c r="C22" s="38"/>
    </row>
    <row r="23" spans="1:8" x14ac:dyDescent="0.3">
      <c r="A23" s="33" t="s">
        <v>32</v>
      </c>
      <c r="B23" s="34"/>
      <c r="C23" s="35"/>
    </row>
    <row r="24" spans="1:8" x14ac:dyDescent="0.3">
      <c r="A24" s="57" t="s">
        <v>33</v>
      </c>
      <c r="B24" s="58"/>
      <c r="C24" s="41">
        <f>11647.86/3</f>
        <v>3882.6200000000003</v>
      </c>
      <c r="E24" s="115">
        <f>C24*I10</f>
        <v>1574.59402866866</v>
      </c>
      <c r="F24" s="115">
        <f>C24*I11</f>
        <v>2308.0259713313399</v>
      </c>
    </row>
    <row r="25" spans="1:8" x14ac:dyDescent="0.3">
      <c r="A25" s="59" t="s">
        <v>34</v>
      </c>
      <c r="B25" s="60"/>
      <c r="C25" s="61">
        <f>35382.9/3</f>
        <v>11794.300000000001</v>
      </c>
      <c r="E25" s="115">
        <f>C25*I10</f>
        <v>4783.1707332488832</v>
      </c>
      <c r="F25" s="115">
        <f>C25*I11</f>
        <v>7011.129266751117</v>
      </c>
    </row>
    <row r="26" spans="1:8" x14ac:dyDescent="0.3">
      <c r="A26" s="62" t="s">
        <v>35</v>
      </c>
      <c r="B26" s="63"/>
      <c r="C26" s="64"/>
      <c r="E26" s="115"/>
      <c r="F26" s="115"/>
    </row>
    <row r="27" spans="1:8" x14ac:dyDescent="0.3">
      <c r="A27" s="59" t="s">
        <v>11</v>
      </c>
      <c r="B27" s="60"/>
      <c r="C27" s="61">
        <f>1008.09/3</f>
        <v>336.03000000000003</v>
      </c>
      <c r="D27" s="65"/>
      <c r="E27" s="116">
        <f>C27*I10</f>
        <v>136.27674906468567</v>
      </c>
      <c r="F27" s="116">
        <f>C27*I11</f>
        <v>199.75325093531436</v>
      </c>
    </row>
    <row r="28" spans="1:8" x14ac:dyDescent="0.3">
      <c r="A28" s="36" t="s">
        <v>36</v>
      </c>
      <c r="B28" s="37"/>
      <c r="C28" s="38"/>
      <c r="D28" s="65"/>
      <c r="E28" s="116">
        <f>SUM(E24:E27)</f>
        <v>6494.0415109822288</v>
      </c>
      <c r="F28" s="116">
        <f>SUM(F24:F27)</f>
        <v>9518.9084890177728</v>
      </c>
      <c r="G28" s="115">
        <f>E28+F28</f>
        <v>16012.95</v>
      </c>
    </row>
    <row r="29" spans="1:8" ht="16.2" thickBot="1" x14ac:dyDescent="0.35">
      <c r="A29" s="48" t="s">
        <v>37</v>
      </c>
      <c r="B29" s="49"/>
      <c r="C29" s="35"/>
      <c r="D29" s="65"/>
      <c r="E29" s="65"/>
      <c r="F29" s="65"/>
    </row>
    <row r="30" spans="1:8" ht="16.2" thickBot="1" x14ac:dyDescent="0.35">
      <c r="A30" s="3" t="s">
        <v>38</v>
      </c>
      <c r="C30" s="66">
        <f>SUM(C20:C29)</f>
        <v>16012.950000000003</v>
      </c>
      <c r="E30" s="3" t="s">
        <v>39</v>
      </c>
      <c r="F30" s="67">
        <f>H15+E28</f>
        <v>9516.2115109822298</v>
      </c>
      <c r="H30" s="80">
        <f>F11+F28</f>
        <v>16970.948489017774</v>
      </c>
    </row>
    <row r="33" spans="1:1" x14ac:dyDescent="0.3">
      <c r="A33" s="28" t="s">
        <v>40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084B7-24DF-4640-BE76-3519E748CB41}">
  <dimension ref="A1:F33"/>
  <sheetViews>
    <sheetView topLeftCell="A7" workbookViewId="0">
      <selection activeCell="F31" sqref="F31"/>
    </sheetView>
  </sheetViews>
  <sheetFormatPr defaultColWidth="8.796875" defaultRowHeight="15.6" x14ac:dyDescent="0.3"/>
  <cols>
    <col min="1" max="1" width="19" customWidth="1"/>
    <col min="2" max="2" width="27.5" customWidth="1"/>
    <col min="3" max="3" width="12.796875" customWidth="1"/>
    <col min="4" max="4" width="9.296875" customWidth="1"/>
    <col min="5" max="5" width="10.19921875" customWidth="1"/>
    <col min="6" max="6" width="11.69921875" customWidth="1"/>
  </cols>
  <sheetData>
    <row r="1" spans="1:6" ht="18" x14ac:dyDescent="0.35">
      <c r="A1" s="5" t="s">
        <v>13</v>
      </c>
      <c r="B1" s="6"/>
      <c r="C1" s="6"/>
      <c r="D1" s="6"/>
      <c r="E1" s="6"/>
      <c r="F1" s="6"/>
    </row>
    <row r="2" spans="1:6" ht="15" customHeight="1" x14ac:dyDescent="0.3">
      <c r="A2" s="6" t="s">
        <v>14</v>
      </c>
      <c r="B2" s="6"/>
      <c r="C2" s="6"/>
      <c r="D2" s="6"/>
      <c r="E2" s="6"/>
      <c r="F2" s="6"/>
    </row>
    <row r="3" spans="1:6" ht="15" customHeight="1" x14ac:dyDescent="0.3">
      <c r="A3" s="6"/>
      <c r="B3" s="6"/>
      <c r="C3" s="6"/>
      <c r="D3" s="6"/>
      <c r="E3" s="6"/>
      <c r="F3" s="6"/>
    </row>
    <row r="4" spans="1:6" ht="15" customHeight="1" x14ac:dyDescent="0.3">
      <c r="A4" s="7" t="s">
        <v>15</v>
      </c>
      <c r="B4" s="6" t="s">
        <v>67</v>
      </c>
      <c r="C4" s="6"/>
      <c r="D4" s="6"/>
      <c r="E4" s="6"/>
      <c r="F4" s="6"/>
    </row>
    <row r="5" spans="1:6" x14ac:dyDescent="0.3">
      <c r="A5" s="6"/>
      <c r="B5" s="6"/>
      <c r="C5" s="6"/>
      <c r="D5" s="6"/>
      <c r="E5" s="6"/>
      <c r="F5" s="6"/>
    </row>
    <row r="6" spans="1:6" x14ac:dyDescent="0.3">
      <c r="A6" s="8" t="s">
        <v>16</v>
      </c>
      <c r="B6" s="9" t="s">
        <v>17</v>
      </c>
      <c r="C6" s="6"/>
      <c r="D6" s="6"/>
      <c r="E6" s="6"/>
      <c r="F6" s="6"/>
    </row>
    <row r="7" spans="1:6" x14ac:dyDescent="0.3">
      <c r="A7" s="8"/>
      <c r="B7" s="9" t="s">
        <v>18</v>
      </c>
      <c r="C7" s="6"/>
      <c r="D7" s="6"/>
      <c r="E7" s="6"/>
      <c r="F7" s="6"/>
    </row>
    <row r="8" spans="1:6" x14ac:dyDescent="0.3">
      <c r="B8" s="6"/>
      <c r="C8" s="6"/>
      <c r="D8" s="6"/>
      <c r="E8" s="6"/>
      <c r="F8" s="6"/>
    </row>
    <row r="9" spans="1:6" s="15" customFormat="1" ht="57.6" x14ac:dyDescent="0.3">
      <c r="A9" s="10" t="s">
        <v>19</v>
      </c>
      <c r="B9" s="11" t="s">
        <v>20</v>
      </c>
      <c r="C9" s="12" t="s">
        <v>21</v>
      </c>
      <c r="D9" s="13" t="s">
        <v>22</v>
      </c>
      <c r="E9" s="14" t="s">
        <v>23</v>
      </c>
      <c r="F9" s="14" t="s">
        <v>24</v>
      </c>
    </row>
    <row r="10" spans="1:6" x14ac:dyDescent="0.3">
      <c r="A10" s="2" t="s">
        <v>10</v>
      </c>
      <c r="B10" s="16" t="s">
        <v>25</v>
      </c>
      <c r="C10" s="17"/>
      <c r="D10">
        <v>0</v>
      </c>
      <c r="E10" s="16">
        <v>0</v>
      </c>
      <c r="F10" s="18"/>
    </row>
    <row r="11" spans="1:6" x14ac:dyDescent="0.3">
      <c r="A11" s="19"/>
      <c r="B11" s="20"/>
      <c r="C11" s="21"/>
      <c r="D11" s="22"/>
      <c r="E11" s="21"/>
      <c r="F11" s="23"/>
    </row>
    <row r="12" spans="1:6" x14ac:dyDescent="0.3">
      <c r="A12" s="24"/>
      <c r="B12" s="25"/>
      <c r="C12" s="16"/>
      <c r="E12" s="16"/>
      <c r="F12" s="18"/>
    </row>
    <row r="13" spans="1:6" x14ac:dyDescent="0.3">
      <c r="A13" s="19"/>
      <c r="B13" s="20"/>
      <c r="C13" s="21"/>
      <c r="D13" s="22"/>
      <c r="E13" s="21"/>
      <c r="F13" s="23"/>
    </row>
    <row r="14" spans="1:6" ht="16.2" thickBot="1" x14ac:dyDescent="0.35">
      <c r="A14" s="24"/>
      <c r="B14" s="25"/>
      <c r="C14" s="16"/>
      <c r="E14" s="16"/>
      <c r="F14" s="18"/>
    </row>
    <row r="15" spans="1:6" s="15" customFormat="1" ht="15" thickBot="1" x14ac:dyDescent="0.35">
      <c r="A15" s="26" t="s">
        <v>26</v>
      </c>
      <c r="F15" s="27">
        <f>SUM(F10:F14)</f>
        <v>0</v>
      </c>
    </row>
    <row r="18" spans="1:6" x14ac:dyDescent="0.3">
      <c r="A18" s="28" t="s">
        <v>27</v>
      </c>
    </row>
    <row r="19" spans="1:6" ht="28.8" x14ac:dyDescent="0.3">
      <c r="A19" s="28"/>
      <c r="C19" s="29" t="s">
        <v>28</v>
      </c>
    </row>
    <row r="20" spans="1:6" x14ac:dyDescent="0.3">
      <c r="A20" s="30" t="s">
        <v>29</v>
      </c>
      <c r="B20" s="31"/>
      <c r="C20" s="32"/>
    </row>
    <row r="21" spans="1:6" x14ac:dyDescent="0.3">
      <c r="A21" s="33" t="s">
        <v>30</v>
      </c>
      <c r="B21" s="34"/>
      <c r="C21" s="35">
        <f>6500/3</f>
        <v>2166.6666666666665</v>
      </c>
    </row>
    <row r="22" spans="1:6" x14ac:dyDescent="0.3">
      <c r="A22" s="36" t="s">
        <v>31</v>
      </c>
      <c r="B22" s="37"/>
      <c r="C22" s="38"/>
    </row>
    <row r="23" spans="1:6" x14ac:dyDescent="0.3">
      <c r="A23" s="33" t="s">
        <v>32</v>
      </c>
      <c r="B23" s="34"/>
      <c r="C23" s="35"/>
    </row>
    <row r="24" spans="1:6" x14ac:dyDescent="0.3">
      <c r="A24" s="39" t="s">
        <v>33</v>
      </c>
      <c r="B24" s="40"/>
      <c r="C24" s="41"/>
    </row>
    <row r="25" spans="1:6" x14ac:dyDescent="0.3">
      <c r="A25" s="4" t="s">
        <v>34</v>
      </c>
      <c r="B25" s="42"/>
      <c r="C25" s="43"/>
    </row>
    <row r="26" spans="1:6" x14ac:dyDescent="0.3">
      <c r="A26" s="44" t="s">
        <v>35</v>
      </c>
      <c r="B26" s="45"/>
      <c r="C26" s="46"/>
    </row>
    <row r="27" spans="1:6" x14ac:dyDescent="0.3">
      <c r="A27" s="4" t="s">
        <v>11</v>
      </c>
      <c r="B27" s="42"/>
      <c r="C27" s="43"/>
      <c r="D27" s="47"/>
      <c r="E27" s="47"/>
      <c r="F27" s="47"/>
    </row>
    <row r="28" spans="1:6" x14ac:dyDescent="0.3">
      <c r="A28" s="36" t="s">
        <v>36</v>
      </c>
      <c r="B28" s="37"/>
      <c r="C28" s="38"/>
      <c r="D28" s="47"/>
      <c r="E28" s="47"/>
      <c r="F28" s="47"/>
    </row>
    <row r="29" spans="1:6" ht="16.2" thickBot="1" x14ac:dyDescent="0.35">
      <c r="A29" s="48" t="s">
        <v>37</v>
      </c>
      <c r="B29" s="49"/>
      <c r="C29" s="35"/>
      <c r="D29" s="47"/>
      <c r="E29" s="47"/>
      <c r="F29" s="47"/>
    </row>
    <row r="30" spans="1:6" ht="16.2" thickBot="1" x14ac:dyDescent="0.35">
      <c r="A30" s="15" t="s">
        <v>38</v>
      </c>
      <c r="C30" s="27">
        <f>SUM(C20:C29)</f>
        <v>2166.6666666666665</v>
      </c>
      <c r="E30" s="15" t="s">
        <v>39</v>
      </c>
      <c r="F30" s="50">
        <f>SUM(F15+C30)</f>
        <v>2166.6666666666665</v>
      </c>
    </row>
    <row r="33" spans="1:1" x14ac:dyDescent="0.3">
      <c r="A33" s="28" t="s">
        <v>40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000BFB-7C07-4667-8357-F35F1928F626}">
  <dimension ref="A1:G33"/>
  <sheetViews>
    <sheetView topLeftCell="A13" workbookViewId="0">
      <selection activeCell="F31" sqref="F31"/>
    </sheetView>
  </sheetViews>
  <sheetFormatPr defaultColWidth="8.796875" defaultRowHeight="15.6" x14ac:dyDescent="0.3"/>
  <cols>
    <col min="1" max="1" width="19" customWidth="1"/>
    <col min="2" max="2" width="27.5" customWidth="1"/>
    <col min="3" max="3" width="12.796875" customWidth="1"/>
    <col min="4" max="4" width="9.296875" customWidth="1"/>
    <col min="5" max="5" width="10.19921875" customWidth="1"/>
    <col min="6" max="6" width="11.69921875" customWidth="1"/>
  </cols>
  <sheetData>
    <row r="1" spans="1:7" ht="18" x14ac:dyDescent="0.35">
      <c r="A1" s="5" t="s">
        <v>13</v>
      </c>
      <c r="B1" s="6"/>
      <c r="C1" s="6"/>
      <c r="D1" s="6"/>
      <c r="E1" s="6"/>
      <c r="F1" s="6"/>
    </row>
    <row r="2" spans="1:7" ht="15" customHeight="1" x14ac:dyDescent="0.3">
      <c r="A2" s="6" t="s">
        <v>14</v>
      </c>
      <c r="B2" s="6"/>
      <c r="C2" s="6"/>
      <c r="D2" s="6"/>
      <c r="E2" s="6"/>
      <c r="F2" s="6"/>
    </row>
    <row r="3" spans="1:7" ht="15" customHeight="1" x14ac:dyDescent="0.3">
      <c r="A3" s="6"/>
      <c r="B3" s="6"/>
      <c r="C3" s="6"/>
      <c r="D3" s="6"/>
      <c r="E3" s="6"/>
      <c r="F3" s="6"/>
    </row>
    <row r="4" spans="1:7" ht="15" customHeight="1" x14ac:dyDescent="0.3">
      <c r="A4" s="7" t="s">
        <v>15</v>
      </c>
      <c r="B4" s="6" t="s">
        <v>63</v>
      </c>
      <c r="C4" s="6"/>
      <c r="D4" s="6"/>
      <c r="E4" s="6"/>
      <c r="F4" s="6"/>
    </row>
    <row r="5" spans="1:7" x14ac:dyDescent="0.3">
      <c r="A5" s="6"/>
      <c r="B5" s="6"/>
      <c r="C5" s="6"/>
      <c r="D5" s="6"/>
      <c r="E5" s="6"/>
      <c r="F5" s="6"/>
    </row>
    <row r="6" spans="1:7" x14ac:dyDescent="0.3">
      <c r="A6" s="8" t="s">
        <v>16</v>
      </c>
      <c r="B6" s="9" t="s">
        <v>17</v>
      </c>
      <c r="C6" s="6"/>
      <c r="D6" s="6"/>
      <c r="E6" s="6"/>
      <c r="F6" s="6"/>
    </row>
    <row r="7" spans="1:7" x14ac:dyDescent="0.3">
      <c r="A7" s="8"/>
      <c r="B7" s="9" t="s">
        <v>18</v>
      </c>
      <c r="C7" s="6"/>
      <c r="D7" s="6"/>
      <c r="E7" s="6"/>
      <c r="F7" s="6"/>
    </row>
    <row r="8" spans="1:7" x14ac:dyDescent="0.3">
      <c r="B8" s="6"/>
      <c r="C8" s="6"/>
      <c r="D8" s="6"/>
      <c r="E8" s="6"/>
      <c r="F8" s="6"/>
    </row>
    <row r="9" spans="1:7" s="15" customFormat="1" ht="57.6" x14ac:dyDescent="0.3">
      <c r="A9" s="10" t="s">
        <v>19</v>
      </c>
      <c r="B9" s="11" t="s">
        <v>20</v>
      </c>
      <c r="C9" s="12" t="s">
        <v>21</v>
      </c>
      <c r="D9" s="13" t="s">
        <v>22</v>
      </c>
      <c r="E9" s="14" t="s">
        <v>23</v>
      </c>
      <c r="F9" s="14" t="s">
        <v>24</v>
      </c>
    </row>
    <row r="10" spans="1:7" x14ac:dyDescent="0.3">
      <c r="A10" s="2" t="s">
        <v>9</v>
      </c>
      <c r="B10" s="16" t="s">
        <v>41</v>
      </c>
      <c r="C10" s="17">
        <v>45566</v>
      </c>
      <c r="D10">
        <v>8</v>
      </c>
      <c r="E10" s="16">
        <v>0.34</v>
      </c>
      <c r="F10" s="18">
        <f>44248/3</f>
        <v>14749.333333333334</v>
      </c>
      <c r="G10" t="s">
        <v>76</v>
      </c>
    </row>
    <row r="11" spans="1:7" x14ac:dyDescent="0.3">
      <c r="A11" s="19"/>
      <c r="B11" s="20"/>
      <c r="C11" s="21"/>
      <c r="D11" s="22"/>
      <c r="E11" s="21"/>
      <c r="F11" s="23"/>
    </row>
    <row r="12" spans="1:7" x14ac:dyDescent="0.3">
      <c r="A12" s="24"/>
      <c r="B12" s="25"/>
      <c r="C12" s="16"/>
      <c r="E12" s="16"/>
      <c r="F12" s="18"/>
    </row>
    <row r="13" spans="1:7" x14ac:dyDescent="0.3">
      <c r="A13" s="19"/>
      <c r="B13" s="20"/>
      <c r="C13" s="21"/>
      <c r="D13" s="22"/>
      <c r="E13" s="21"/>
      <c r="F13" s="23"/>
    </row>
    <row r="14" spans="1:7" ht="16.2" thickBot="1" x14ac:dyDescent="0.35">
      <c r="A14" s="24"/>
      <c r="B14" s="25"/>
      <c r="C14" s="16"/>
      <c r="E14" s="16"/>
      <c r="F14" s="18"/>
    </row>
    <row r="15" spans="1:7" s="15" customFormat="1" ht="15" thickBot="1" x14ac:dyDescent="0.35">
      <c r="A15" s="26" t="s">
        <v>26</v>
      </c>
      <c r="F15" s="27">
        <f>SUM(F10:F14)</f>
        <v>14749.333333333334</v>
      </c>
    </row>
    <row r="18" spans="1:6" x14ac:dyDescent="0.3">
      <c r="A18" s="28" t="s">
        <v>27</v>
      </c>
    </row>
    <row r="19" spans="1:6" ht="28.8" x14ac:dyDescent="0.3">
      <c r="A19" s="28"/>
      <c r="C19" s="29" t="s">
        <v>28</v>
      </c>
    </row>
    <row r="20" spans="1:6" x14ac:dyDescent="0.3">
      <c r="A20" s="30" t="s">
        <v>29</v>
      </c>
      <c r="B20" s="31"/>
      <c r="C20" s="32"/>
    </row>
    <row r="21" spans="1:6" x14ac:dyDescent="0.3">
      <c r="A21" s="33" t="s">
        <v>30</v>
      </c>
      <c r="B21" s="34"/>
      <c r="C21" s="35"/>
    </row>
    <row r="22" spans="1:6" x14ac:dyDescent="0.3">
      <c r="A22" s="36" t="s">
        <v>31</v>
      </c>
      <c r="B22" s="37"/>
      <c r="C22" s="38">
        <v>0</v>
      </c>
    </row>
    <row r="23" spans="1:6" x14ac:dyDescent="0.3">
      <c r="A23" s="33" t="s">
        <v>32</v>
      </c>
      <c r="B23" s="34"/>
      <c r="C23" s="35"/>
    </row>
    <row r="24" spans="1:6" x14ac:dyDescent="0.3">
      <c r="A24" s="39" t="s">
        <v>33</v>
      </c>
      <c r="B24" s="40"/>
      <c r="C24" s="41">
        <f>17317/3</f>
        <v>5772.333333333333</v>
      </c>
    </row>
    <row r="25" spans="1:6" x14ac:dyDescent="0.3">
      <c r="A25" s="4" t="s">
        <v>34</v>
      </c>
      <c r="B25" s="42"/>
      <c r="C25" s="43">
        <f>47514/3</f>
        <v>15838</v>
      </c>
    </row>
    <row r="26" spans="1:6" x14ac:dyDescent="0.3">
      <c r="A26" s="44" t="s">
        <v>35</v>
      </c>
      <c r="B26" s="45"/>
      <c r="C26" s="46"/>
    </row>
    <row r="27" spans="1:6" x14ac:dyDescent="0.3">
      <c r="A27" s="4" t="s">
        <v>11</v>
      </c>
      <c r="B27" s="42"/>
      <c r="C27" s="43">
        <f>1132/3</f>
        <v>377.33333333333331</v>
      </c>
      <c r="D27" s="47"/>
      <c r="E27" s="47"/>
      <c r="F27" s="47"/>
    </row>
    <row r="28" spans="1:6" x14ac:dyDescent="0.3">
      <c r="A28" s="36" t="s">
        <v>36</v>
      </c>
      <c r="B28" s="37"/>
      <c r="C28" s="38"/>
      <c r="D28" s="47"/>
      <c r="E28" s="47"/>
      <c r="F28" s="47"/>
    </row>
    <row r="29" spans="1:6" ht="16.2" thickBot="1" x14ac:dyDescent="0.35">
      <c r="A29" s="48" t="s">
        <v>37</v>
      </c>
      <c r="B29" s="49"/>
      <c r="C29" s="35"/>
      <c r="D29" s="47"/>
      <c r="E29" s="47"/>
      <c r="F29" s="47"/>
    </row>
    <row r="30" spans="1:6" ht="16.2" thickBot="1" x14ac:dyDescent="0.35">
      <c r="A30" s="15" t="s">
        <v>38</v>
      </c>
      <c r="C30" s="27">
        <f>SUM(C20:C29)</f>
        <v>21987.666666666664</v>
      </c>
      <c r="E30" s="15" t="s">
        <v>39</v>
      </c>
      <c r="F30" s="50">
        <f>SUM(F15+C30)</f>
        <v>36737</v>
      </c>
    </row>
    <row r="33" spans="1:1" x14ac:dyDescent="0.3">
      <c r="A33" s="28" t="s">
        <v>40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2AFD750426FF4689ED6EEB53C2951A" ma:contentTypeVersion="18" ma:contentTypeDescription="Create a new document." ma:contentTypeScope="" ma:versionID="8a706eba4694a455f0dc60a6345be25f">
  <xsd:schema xmlns:xsd="http://www.w3.org/2001/XMLSchema" xmlns:xs="http://www.w3.org/2001/XMLSchema" xmlns:p="http://schemas.microsoft.com/office/2006/metadata/properties" xmlns:ns3="861374fa-46ae-4859-acf9-337d9d35654b" xmlns:ns4="bcf48347-58aa-4d62-91d1-b7aa5d8fd5de" targetNamespace="http://schemas.microsoft.com/office/2006/metadata/properties" ma:root="true" ma:fieldsID="f0c86343db5bd51f45ab6c27c890a34b" ns3:_="" ns4:_="">
    <xsd:import namespace="861374fa-46ae-4859-acf9-337d9d35654b"/>
    <xsd:import namespace="bcf48347-58aa-4d62-91d1-b7aa5d8fd5d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374fa-46ae-4859-acf9-337d9d3565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48347-58aa-4d62-91d1-b7aa5d8fd5de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374fa-46ae-4859-acf9-337d9d35654b" xsi:nil="true"/>
  </documentManagement>
</p:properties>
</file>

<file path=customXml/itemProps1.xml><?xml version="1.0" encoding="utf-8"?>
<ds:datastoreItem xmlns:ds="http://schemas.openxmlformats.org/officeDocument/2006/customXml" ds:itemID="{0FAFBFB0-C355-4681-AB24-755CB1ADE91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F683245-AA54-4495-A757-C0C61F433D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374fa-46ae-4859-acf9-337d9d35654b"/>
    <ds:schemaRef ds:uri="bcf48347-58aa-4d62-91d1-b7aa5d8fd5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C1536A2-2920-46F1-97FC-A844E6095FA6}">
  <ds:schemaRefs>
    <ds:schemaRef ds:uri="http://schemas.openxmlformats.org/package/2006/metadata/core-properties"/>
    <ds:schemaRef ds:uri="861374fa-46ae-4859-acf9-337d9d35654b"/>
    <ds:schemaRef ds:uri="http://schemas.microsoft.com/office/2006/documentManagement/types"/>
    <ds:schemaRef ds:uri="http://purl.org/dc/dcmitype/"/>
    <ds:schemaRef ds:uri="http://www.w3.org/XML/1998/namespace"/>
    <ds:schemaRef ds:uri="http://purl.org/dc/terms/"/>
    <ds:schemaRef ds:uri="http://purl.org/dc/elements/1.1/"/>
    <ds:schemaRef ds:uri="http://schemas.microsoft.com/office/infopath/2007/PartnerControls"/>
    <ds:schemaRef ds:uri="bcf48347-58aa-4d62-91d1-b7aa5d8fd5de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QUB</vt:lpstr>
      <vt:lpstr>BHM Bio</vt:lpstr>
      <vt:lpstr>Bhm Phys</vt:lpstr>
      <vt:lpstr>ICR</vt:lpstr>
      <vt:lpstr>ICL</vt:lpstr>
      <vt:lpstr>Liv</vt:lpstr>
      <vt:lpstr>Man</vt:lpstr>
      <vt:lpstr>QMUL</vt:lpstr>
      <vt:lpstr>RHUL</vt:lpstr>
      <vt:lpstr>Daresbury</vt:lpstr>
      <vt:lpstr>Strath</vt:lpstr>
      <vt:lpstr>Swansea</vt:lpstr>
      <vt:lpstr>UCL</vt:lpstr>
      <vt:lpstr>8 Mth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Colin Whyte</cp:lastModifiedBy>
  <cp:revision/>
  <dcterms:created xsi:type="dcterms:W3CDTF">2021-06-09T08:42:52Z</dcterms:created>
  <dcterms:modified xsi:type="dcterms:W3CDTF">2025-01-14T14:27:41Z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0x010100D62AFD750426FF4689ED6EEB53C2951A</vt:lpwstr>
  </property>
</Properties>
</file>